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47CB7645-FAA6-4CD0-B127-A088D14CA268}" xr6:coauthVersionLast="47" xr6:coauthVersionMax="47" xr10:uidLastSave="{00000000-0000-0000-0000-000000000000}"/>
  <bookViews>
    <workbookView xWindow="-120" yWindow="-16320" windowWidth="29040" windowHeight="15720" xr2:uid="{FD928F78-EFD2-45FC-9AFC-5F4FABC7C342}"/>
  </bookViews>
  <sheets>
    <sheet name="CETR Rate" sheetId="1" r:id="rId1"/>
    <sheet name="Rate Summary" sheetId="3" r:id="rId2"/>
    <sheet name="Domestic Service" sheetId="4" r:id="rId3"/>
    <sheet name="Employee" sheetId="11" r:id="rId4"/>
    <sheet name="General Service" sheetId="12" r:id="rId5"/>
    <sheet name="Street Lights" sheetId="13" r:id="rId6"/>
    <sheet name="Secondary Voltage Power" sheetId="8" r:id="rId7"/>
    <sheet name="Large Power" sheetId="9" r:id="rId8"/>
    <sheet name="Time of Use" sheetId="10" r:id="rId9"/>
    <sheet name="Tariffs" sheetId="5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3" l="1"/>
  <c r="J16" i="1" l="1"/>
  <c r="I16" i="1"/>
  <c r="H16" i="1"/>
  <c r="AF3" i="13"/>
  <c r="AE3" i="12"/>
  <c r="AE3" i="11"/>
  <c r="AE3" i="4"/>
  <c r="C3" i="10"/>
  <c r="C3" i="9"/>
  <c r="C3" i="8"/>
  <c r="C3" i="12"/>
  <c r="C3" i="11"/>
  <c r="C3" i="4"/>
  <c r="F3" i="3"/>
  <c r="AE8" i="13" l="1"/>
  <c r="Q8" i="13"/>
  <c r="I8" i="13"/>
  <c r="AE7" i="13"/>
  <c r="Q7" i="13"/>
  <c r="I7" i="13"/>
  <c r="AD28" i="12"/>
  <c r="P28" i="12"/>
  <c r="H28" i="12"/>
  <c r="AD27" i="12"/>
  <c r="P27" i="12"/>
  <c r="H27" i="12"/>
  <c r="AD26" i="12"/>
  <c r="P26" i="12"/>
  <c r="H26" i="12"/>
  <c r="AD25" i="12"/>
  <c r="P25" i="12"/>
  <c r="H25" i="12"/>
  <c r="AD24" i="12"/>
  <c r="P24" i="12"/>
  <c r="H24" i="12"/>
  <c r="AD23" i="12"/>
  <c r="P23" i="12"/>
  <c r="H23" i="12"/>
  <c r="AD22" i="12"/>
  <c r="P22" i="12"/>
  <c r="H22" i="12"/>
  <c r="AD21" i="12"/>
  <c r="P21" i="12"/>
  <c r="H21" i="12"/>
  <c r="AD20" i="12"/>
  <c r="P20" i="12"/>
  <c r="H20" i="12"/>
  <c r="AD19" i="12"/>
  <c r="P19" i="12"/>
  <c r="H19" i="12"/>
  <c r="AD18" i="12"/>
  <c r="P18" i="12"/>
  <c r="H18" i="12"/>
  <c r="AD17" i="12"/>
  <c r="P17" i="12"/>
  <c r="H17" i="12"/>
  <c r="AD16" i="12"/>
  <c r="P16" i="12"/>
  <c r="H16" i="12"/>
  <c r="AD15" i="12"/>
  <c r="P15" i="12"/>
  <c r="H15" i="12"/>
  <c r="AD14" i="12"/>
  <c r="P14" i="12"/>
  <c r="H14" i="12"/>
  <c r="AD13" i="12"/>
  <c r="P13" i="12"/>
  <c r="H13" i="12"/>
  <c r="AD12" i="12"/>
  <c r="P12" i="12"/>
  <c r="H12" i="12"/>
  <c r="AD11" i="12"/>
  <c r="P11" i="12"/>
  <c r="H11" i="12"/>
  <c r="AD10" i="12"/>
  <c r="P10" i="12"/>
  <c r="H10" i="12"/>
  <c r="AD9" i="12"/>
  <c r="P9" i="12"/>
  <c r="H9" i="12"/>
  <c r="AD8" i="12"/>
  <c r="P8" i="12"/>
  <c r="H8" i="12"/>
  <c r="AD7" i="12"/>
  <c r="P7" i="12"/>
  <c r="H7" i="12"/>
  <c r="AD28" i="11"/>
  <c r="P28" i="11"/>
  <c r="H28" i="11"/>
  <c r="AD27" i="11"/>
  <c r="P27" i="11"/>
  <c r="H27" i="11"/>
  <c r="AD26" i="11"/>
  <c r="P26" i="11"/>
  <c r="H26" i="11"/>
  <c r="AD25" i="11"/>
  <c r="P25" i="11"/>
  <c r="H25" i="11"/>
  <c r="AD24" i="11"/>
  <c r="P24" i="11"/>
  <c r="H24" i="11"/>
  <c r="AD23" i="11"/>
  <c r="P23" i="11"/>
  <c r="H23" i="11"/>
  <c r="AD22" i="11"/>
  <c r="P22" i="11"/>
  <c r="H22" i="11"/>
  <c r="AD21" i="11"/>
  <c r="P21" i="11"/>
  <c r="H21" i="11"/>
  <c r="AD20" i="11"/>
  <c r="P20" i="11"/>
  <c r="H20" i="11"/>
  <c r="AD19" i="11"/>
  <c r="P19" i="11"/>
  <c r="H19" i="11"/>
  <c r="AD18" i="11"/>
  <c r="P18" i="11"/>
  <c r="H18" i="11"/>
  <c r="AD17" i="11"/>
  <c r="P17" i="11"/>
  <c r="H17" i="11"/>
  <c r="AD16" i="11"/>
  <c r="P16" i="11"/>
  <c r="H16" i="11"/>
  <c r="AD15" i="11"/>
  <c r="P15" i="11"/>
  <c r="H15" i="11"/>
  <c r="AD14" i="11"/>
  <c r="P14" i="11"/>
  <c r="H14" i="11"/>
  <c r="AD13" i="11"/>
  <c r="P13" i="11"/>
  <c r="H13" i="11"/>
  <c r="AD12" i="11"/>
  <c r="P12" i="11"/>
  <c r="H12" i="11"/>
  <c r="AD11" i="11"/>
  <c r="P11" i="11"/>
  <c r="H11" i="11"/>
  <c r="AD10" i="11"/>
  <c r="P10" i="11"/>
  <c r="H10" i="11"/>
  <c r="AD9" i="11"/>
  <c r="P9" i="11"/>
  <c r="H9" i="11"/>
  <c r="AD8" i="11"/>
  <c r="P8" i="11"/>
  <c r="H8" i="11"/>
  <c r="AD7" i="11"/>
  <c r="P7" i="11"/>
  <c r="H7" i="11"/>
  <c r="E50" i="5" l="1"/>
  <c r="E57" i="5"/>
  <c r="E44" i="5"/>
  <c r="E43" i="5"/>
  <c r="E46" i="5"/>
  <c r="E41" i="5"/>
  <c r="G37" i="5"/>
  <c r="F37" i="5"/>
  <c r="E37" i="5"/>
  <c r="G36" i="5"/>
  <c r="F36" i="5"/>
  <c r="E36" i="5"/>
  <c r="H30" i="5"/>
  <c r="H31" i="5"/>
  <c r="H32" i="5"/>
  <c r="H29" i="5"/>
  <c r="G30" i="5"/>
  <c r="G31" i="5"/>
  <c r="G29" i="5"/>
  <c r="H20" i="5"/>
  <c r="H21" i="5"/>
  <c r="H22" i="5"/>
  <c r="H19" i="5"/>
  <c r="H10" i="5"/>
  <c r="H11" i="5"/>
  <c r="H12" i="5"/>
  <c r="H9" i="5"/>
  <c r="G10" i="5"/>
  <c r="G11" i="5"/>
  <c r="M27" i="4" s="1"/>
  <c r="G9" i="5"/>
  <c r="J18" i="5"/>
  <c r="J28" i="5" s="1"/>
  <c r="I36" i="5" s="1"/>
  <c r="G57" i="5" s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M10" i="4"/>
  <c r="P7" i="4"/>
  <c r="E8" i="4"/>
  <c r="H7" i="4"/>
  <c r="E7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AD11" i="4"/>
  <c r="AD10" i="4"/>
  <c r="AD9" i="4"/>
  <c r="AD8" i="4"/>
  <c r="AD7" i="4"/>
  <c r="F8" i="13" l="1"/>
  <c r="F7" i="13"/>
  <c r="F11" i="4"/>
  <c r="E7" i="12"/>
  <c r="M7" i="12" s="1"/>
  <c r="E8" i="12"/>
  <c r="M8" i="12" s="1"/>
  <c r="E9" i="12"/>
  <c r="M9" i="12" s="1"/>
  <c r="E10" i="12"/>
  <c r="M10" i="12" s="1"/>
  <c r="G32" i="5"/>
  <c r="E22" i="12"/>
  <c r="M22" i="12" s="1"/>
  <c r="E19" i="12"/>
  <c r="M19" i="12" s="1"/>
  <c r="E23" i="12"/>
  <c r="E27" i="12"/>
  <c r="M27" i="12" s="1"/>
  <c r="E24" i="12"/>
  <c r="M24" i="12" s="1"/>
  <c r="E25" i="12"/>
  <c r="M25" i="12" s="1"/>
  <c r="E18" i="12"/>
  <c r="M18" i="12" s="1"/>
  <c r="E26" i="12"/>
  <c r="M26" i="12" s="1"/>
  <c r="E21" i="12"/>
  <c r="M21" i="12" s="1"/>
  <c r="E20" i="12"/>
  <c r="M20" i="12" s="1"/>
  <c r="E28" i="12"/>
  <c r="M28" i="12" s="1"/>
  <c r="E14" i="12"/>
  <c r="M14" i="12" s="1"/>
  <c r="E15" i="12"/>
  <c r="E16" i="12"/>
  <c r="M16" i="12" s="1"/>
  <c r="E11" i="12"/>
  <c r="M11" i="12" s="1"/>
  <c r="E17" i="12"/>
  <c r="M17" i="12" s="1"/>
  <c r="E12" i="12"/>
  <c r="M12" i="12" s="1"/>
  <c r="E13" i="12"/>
  <c r="M13" i="12" s="1"/>
  <c r="F12" i="12"/>
  <c r="F20" i="12"/>
  <c r="F28" i="12"/>
  <c r="F17" i="12"/>
  <c r="F13" i="12"/>
  <c r="F21" i="12"/>
  <c r="F7" i="12"/>
  <c r="F14" i="12"/>
  <c r="F22" i="12"/>
  <c r="F15" i="12"/>
  <c r="N15" i="12" s="1"/>
  <c r="F23" i="12"/>
  <c r="N23" i="12" s="1"/>
  <c r="F25" i="12"/>
  <c r="F8" i="12"/>
  <c r="F16" i="12"/>
  <c r="F24" i="12"/>
  <c r="F9" i="12"/>
  <c r="F10" i="12"/>
  <c r="F18" i="12"/>
  <c r="F26" i="12"/>
  <c r="F11" i="12"/>
  <c r="F19" i="12"/>
  <c r="F27" i="12"/>
  <c r="F10" i="4"/>
  <c r="N10" i="4"/>
  <c r="O10" i="4" s="1"/>
  <c r="F28" i="11"/>
  <c r="F20" i="11"/>
  <c r="F12" i="11"/>
  <c r="F27" i="11"/>
  <c r="F19" i="11"/>
  <c r="F11" i="11"/>
  <c r="F14" i="11"/>
  <c r="F26" i="11"/>
  <c r="F18" i="11"/>
  <c r="F10" i="11"/>
  <c r="F22" i="11"/>
  <c r="F13" i="11"/>
  <c r="F25" i="11"/>
  <c r="F17" i="11"/>
  <c r="F9" i="11"/>
  <c r="F24" i="11"/>
  <c r="F16" i="11"/>
  <c r="F8" i="11"/>
  <c r="F23" i="11"/>
  <c r="F15" i="11"/>
  <c r="F7" i="11"/>
  <c r="F21" i="11"/>
  <c r="N16" i="4"/>
  <c r="G10" i="10"/>
  <c r="G18" i="10"/>
  <c r="G26" i="10"/>
  <c r="G25" i="10"/>
  <c r="G11" i="10"/>
  <c r="G19" i="10"/>
  <c r="G7" i="10"/>
  <c r="G23" i="10"/>
  <c r="G12" i="10"/>
  <c r="G20" i="10"/>
  <c r="G15" i="10"/>
  <c r="G13" i="10"/>
  <c r="G21" i="10"/>
  <c r="G14" i="10"/>
  <c r="G22" i="10"/>
  <c r="G17" i="10"/>
  <c r="G8" i="10"/>
  <c r="G16" i="10"/>
  <c r="G24" i="10"/>
  <c r="G9" i="10"/>
  <c r="I12" i="8"/>
  <c r="I13" i="8"/>
  <c r="I11" i="8"/>
  <c r="I14" i="8"/>
  <c r="I17" i="8"/>
  <c r="I15" i="8"/>
  <c r="I7" i="8"/>
  <c r="I8" i="8"/>
  <c r="I16" i="8"/>
  <c r="I9" i="8"/>
  <c r="I10" i="8"/>
  <c r="I18" i="8"/>
  <c r="H14" i="9"/>
  <c r="H11" i="9"/>
  <c r="H15" i="9"/>
  <c r="H8" i="9"/>
  <c r="H16" i="9"/>
  <c r="H9" i="9"/>
  <c r="H7" i="9"/>
  <c r="H10" i="9"/>
  <c r="H12" i="9"/>
  <c r="H13" i="9"/>
  <c r="F12" i="4"/>
  <c r="F28" i="4"/>
  <c r="F7" i="4"/>
  <c r="N7" i="4"/>
  <c r="N8" i="4"/>
  <c r="F8" i="4"/>
  <c r="N9" i="4"/>
  <c r="F9" i="4"/>
  <c r="E12" i="4"/>
  <c r="E18" i="4"/>
  <c r="E22" i="4"/>
  <c r="E26" i="4"/>
  <c r="M19" i="4"/>
  <c r="M23" i="4"/>
  <c r="F20" i="4"/>
  <c r="N17" i="4"/>
  <c r="F13" i="4"/>
  <c r="N11" i="4"/>
  <c r="N19" i="4"/>
  <c r="F14" i="4"/>
  <c r="F26" i="4"/>
  <c r="N12" i="4"/>
  <c r="N21" i="4"/>
  <c r="F15" i="4"/>
  <c r="N13" i="4"/>
  <c r="F16" i="4"/>
  <c r="N14" i="4"/>
  <c r="F17" i="4"/>
  <c r="N15" i="4"/>
  <c r="N27" i="4"/>
  <c r="O27" i="4" s="1"/>
  <c r="E9" i="4"/>
  <c r="F22" i="4"/>
  <c r="M8" i="4"/>
  <c r="F24" i="4"/>
  <c r="N23" i="4"/>
  <c r="E10" i="4"/>
  <c r="M9" i="4"/>
  <c r="N25" i="4"/>
  <c r="F18" i="4"/>
  <c r="M7" i="4"/>
  <c r="E19" i="4"/>
  <c r="E27" i="4"/>
  <c r="M20" i="4"/>
  <c r="M28" i="4"/>
  <c r="G12" i="5"/>
  <c r="F19" i="4"/>
  <c r="F23" i="4"/>
  <c r="F27" i="4"/>
  <c r="N20" i="4"/>
  <c r="N24" i="4"/>
  <c r="N28" i="4"/>
  <c r="E23" i="4"/>
  <c r="M24" i="4"/>
  <c r="E20" i="4"/>
  <c r="E24" i="4"/>
  <c r="E28" i="4"/>
  <c r="M21" i="4"/>
  <c r="M25" i="4"/>
  <c r="E21" i="4"/>
  <c r="E25" i="4"/>
  <c r="M18" i="4"/>
  <c r="M22" i="4"/>
  <c r="M26" i="4"/>
  <c r="E16" i="4"/>
  <c r="F21" i="4"/>
  <c r="F25" i="4"/>
  <c r="N18" i="4"/>
  <c r="N22" i="4"/>
  <c r="N26" i="4"/>
  <c r="M14" i="4"/>
  <c r="E13" i="4"/>
  <c r="E17" i="4"/>
  <c r="M11" i="4"/>
  <c r="M15" i="4"/>
  <c r="M12" i="4"/>
  <c r="M16" i="4"/>
  <c r="E14" i="4"/>
  <c r="E11" i="4"/>
  <c r="E15" i="4"/>
  <c r="M13" i="4"/>
  <c r="M17" i="4"/>
  <c r="N7" i="13" l="1"/>
  <c r="P7" i="13" s="1"/>
  <c r="H7" i="13"/>
  <c r="J7" i="13" s="1"/>
  <c r="K7" i="13" s="1"/>
  <c r="L7" i="13" s="1"/>
  <c r="N8" i="13"/>
  <c r="P8" i="13" s="1"/>
  <c r="H8" i="13"/>
  <c r="J8" i="13" s="1"/>
  <c r="K8" i="13" s="1"/>
  <c r="L8" i="13" s="1"/>
  <c r="O16" i="4"/>
  <c r="G23" i="11"/>
  <c r="I23" i="11" s="1"/>
  <c r="J23" i="11" s="1"/>
  <c r="K23" i="11" s="1"/>
  <c r="N23" i="11"/>
  <c r="O23" i="11" s="1"/>
  <c r="G22" i="11"/>
  <c r="I22" i="11" s="1"/>
  <c r="J22" i="11" s="1"/>
  <c r="K22" i="11" s="1"/>
  <c r="N22" i="11"/>
  <c r="O22" i="11" s="1"/>
  <c r="G12" i="11"/>
  <c r="I12" i="11" s="1"/>
  <c r="J12" i="11" s="1"/>
  <c r="K12" i="11" s="1"/>
  <c r="N12" i="11"/>
  <c r="O12" i="11" s="1"/>
  <c r="G19" i="12"/>
  <c r="I19" i="12" s="1"/>
  <c r="J19" i="12" s="1"/>
  <c r="K19" i="12" s="1"/>
  <c r="N19" i="12"/>
  <c r="O19" i="12" s="1"/>
  <c r="G8" i="12"/>
  <c r="I8" i="12" s="1"/>
  <c r="J8" i="12" s="1"/>
  <c r="K8" i="12" s="1"/>
  <c r="N8" i="12"/>
  <c r="O8" i="12" s="1"/>
  <c r="N13" i="12"/>
  <c r="O13" i="12" s="1"/>
  <c r="G13" i="12"/>
  <c r="I13" i="12" s="1"/>
  <c r="J13" i="12" s="1"/>
  <c r="K13" i="12" s="1"/>
  <c r="G8" i="11"/>
  <c r="I8" i="11" s="1"/>
  <c r="J8" i="11" s="1"/>
  <c r="K8" i="11" s="1"/>
  <c r="N8" i="11"/>
  <c r="O8" i="11" s="1"/>
  <c r="G10" i="11"/>
  <c r="I10" i="11" s="1"/>
  <c r="J10" i="11" s="1"/>
  <c r="K10" i="11" s="1"/>
  <c r="N10" i="11"/>
  <c r="O10" i="11" s="1"/>
  <c r="G20" i="11"/>
  <c r="I20" i="11" s="1"/>
  <c r="J20" i="11" s="1"/>
  <c r="K20" i="11" s="1"/>
  <c r="N20" i="11"/>
  <c r="O20" i="11" s="1"/>
  <c r="G11" i="12"/>
  <c r="I11" i="12" s="1"/>
  <c r="J11" i="12" s="1"/>
  <c r="K11" i="12" s="1"/>
  <c r="N11" i="12"/>
  <c r="O11" i="12" s="1"/>
  <c r="N25" i="12"/>
  <c r="O25" i="12" s="1"/>
  <c r="G25" i="12"/>
  <c r="I25" i="12" s="1"/>
  <c r="J25" i="12" s="1"/>
  <c r="K25" i="12" s="1"/>
  <c r="N17" i="12"/>
  <c r="O17" i="12" s="1"/>
  <c r="G17" i="12"/>
  <c r="I17" i="12" s="1"/>
  <c r="J17" i="12" s="1"/>
  <c r="K17" i="12" s="1"/>
  <c r="G16" i="11"/>
  <c r="I16" i="11" s="1"/>
  <c r="J16" i="11" s="1"/>
  <c r="K16" i="11" s="1"/>
  <c r="N16" i="11"/>
  <c r="O16" i="11" s="1"/>
  <c r="N26" i="12"/>
  <c r="O26" i="12" s="1"/>
  <c r="G26" i="12"/>
  <c r="I26" i="12" s="1"/>
  <c r="J26" i="12" s="1"/>
  <c r="K26" i="12" s="1"/>
  <c r="O9" i="4"/>
  <c r="G9" i="11"/>
  <c r="I9" i="11" s="1"/>
  <c r="J9" i="11" s="1"/>
  <c r="K9" i="11" s="1"/>
  <c r="N9" i="11"/>
  <c r="O9" i="11" s="1"/>
  <c r="G14" i="11"/>
  <c r="I14" i="11" s="1"/>
  <c r="J14" i="11" s="1"/>
  <c r="K14" i="11" s="1"/>
  <c r="N14" i="11"/>
  <c r="O14" i="11" s="1"/>
  <c r="G10" i="12"/>
  <c r="I10" i="12" s="1"/>
  <c r="J10" i="12" s="1"/>
  <c r="K10" i="12" s="1"/>
  <c r="N10" i="12"/>
  <c r="O10" i="12" s="1"/>
  <c r="N22" i="12"/>
  <c r="O22" i="12" s="1"/>
  <c r="G22" i="12"/>
  <c r="I22" i="12" s="1"/>
  <c r="J22" i="12" s="1"/>
  <c r="K22" i="12" s="1"/>
  <c r="G12" i="12"/>
  <c r="I12" i="12" s="1"/>
  <c r="J12" i="12" s="1"/>
  <c r="K12" i="12" s="1"/>
  <c r="N12" i="12"/>
  <c r="O12" i="12" s="1"/>
  <c r="G18" i="11"/>
  <c r="I18" i="11" s="1"/>
  <c r="J18" i="11" s="1"/>
  <c r="K18" i="11" s="1"/>
  <c r="N18" i="11"/>
  <c r="O18" i="11" s="1"/>
  <c r="N28" i="12"/>
  <c r="O28" i="12" s="1"/>
  <c r="G28" i="12"/>
  <c r="I28" i="12" s="1"/>
  <c r="J28" i="12" s="1"/>
  <c r="K28" i="12" s="1"/>
  <c r="G21" i="11"/>
  <c r="I21" i="11" s="1"/>
  <c r="J21" i="11" s="1"/>
  <c r="K21" i="11" s="1"/>
  <c r="N21" i="11"/>
  <c r="O21" i="11" s="1"/>
  <c r="G17" i="11"/>
  <c r="I17" i="11" s="1"/>
  <c r="J17" i="11" s="1"/>
  <c r="K17" i="11" s="1"/>
  <c r="N17" i="11"/>
  <c r="O17" i="11" s="1"/>
  <c r="G11" i="11"/>
  <c r="I11" i="11" s="1"/>
  <c r="J11" i="11" s="1"/>
  <c r="K11" i="11" s="1"/>
  <c r="N11" i="11"/>
  <c r="O11" i="11" s="1"/>
  <c r="G9" i="12"/>
  <c r="I9" i="12" s="1"/>
  <c r="J9" i="12" s="1"/>
  <c r="K9" i="12" s="1"/>
  <c r="N9" i="12"/>
  <c r="O9" i="12" s="1"/>
  <c r="G14" i="12"/>
  <c r="I14" i="12" s="1"/>
  <c r="J14" i="12" s="1"/>
  <c r="K14" i="12" s="1"/>
  <c r="N14" i="12"/>
  <c r="O14" i="12" s="1"/>
  <c r="G24" i="11"/>
  <c r="I24" i="11" s="1"/>
  <c r="J24" i="11" s="1"/>
  <c r="K24" i="11" s="1"/>
  <c r="N24" i="11"/>
  <c r="O24" i="11" s="1"/>
  <c r="N18" i="12"/>
  <c r="O18" i="12" s="1"/>
  <c r="G18" i="12"/>
  <c r="I18" i="12" s="1"/>
  <c r="J18" i="12" s="1"/>
  <c r="K18" i="12" s="1"/>
  <c r="G15" i="12"/>
  <c r="I15" i="12" s="1"/>
  <c r="J15" i="12" s="1"/>
  <c r="K15" i="12" s="1"/>
  <c r="M15" i="12"/>
  <c r="O15" i="12" s="1"/>
  <c r="G7" i="11"/>
  <c r="I7" i="11" s="1"/>
  <c r="J7" i="11" s="1"/>
  <c r="K7" i="11" s="1"/>
  <c r="N7" i="11"/>
  <c r="O7" i="11" s="1"/>
  <c r="G25" i="11"/>
  <c r="I25" i="11" s="1"/>
  <c r="J25" i="11" s="1"/>
  <c r="K25" i="11" s="1"/>
  <c r="N25" i="11"/>
  <c r="O25" i="11" s="1"/>
  <c r="G19" i="11"/>
  <c r="I19" i="11" s="1"/>
  <c r="J19" i="11" s="1"/>
  <c r="K19" i="11" s="1"/>
  <c r="N19" i="11"/>
  <c r="O19" i="11" s="1"/>
  <c r="N24" i="12"/>
  <c r="O24" i="12" s="1"/>
  <c r="G24" i="12"/>
  <c r="I24" i="12" s="1"/>
  <c r="J24" i="12" s="1"/>
  <c r="K24" i="12" s="1"/>
  <c r="G7" i="12"/>
  <c r="I7" i="12" s="1"/>
  <c r="J7" i="12" s="1"/>
  <c r="K7" i="12" s="1"/>
  <c r="N7" i="12"/>
  <c r="O7" i="12" s="1"/>
  <c r="G23" i="12"/>
  <c r="I23" i="12" s="1"/>
  <c r="J23" i="12" s="1"/>
  <c r="K23" i="12" s="1"/>
  <c r="M23" i="12"/>
  <c r="O23" i="12" s="1"/>
  <c r="G28" i="11"/>
  <c r="I28" i="11" s="1"/>
  <c r="J28" i="11" s="1"/>
  <c r="K28" i="11" s="1"/>
  <c r="N28" i="11"/>
  <c r="O28" i="11" s="1"/>
  <c r="G26" i="11"/>
  <c r="I26" i="11" s="1"/>
  <c r="J26" i="11" s="1"/>
  <c r="K26" i="11" s="1"/>
  <c r="N26" i="11"/>
  <c r="O26" i="11" s="1"/>
  <c r="N20" i="12"/>
  <c r="O20" i="12" s="1"/>
  <c r="G20" i="12"/>
  <c r="I20" i="12" s="1"/>
  <c r="J20" i="12" s="1"/>
  <c r="K20" i="12" s="1"/>
  <c r="G15" i="11"/>
  <c r="I15" i="11" s="1"/>
  <c r="J15" i="11" s="1"/>
  <c r="K15" i="11" s="1"/>
  <c r="N15" i="11"/>
  <c r="O15" i="11" s="1"/>
  <c r="G13" i="11"/>
  <c r="I13" i="11" s="1"/>
  <c r="J13" i="11" s="1"/>
  <c r="K13" i="11" s="1"/>
  <c r="N13" i="11"/>
  <c r="O13" i="11" s="1"/>
  <c r="G27" i="11"/>
  <c r="I27" i="11" s="1"/>
  <c r="J27" i="11" s="1"/>
  <c r="K27" i="11" s="1"/>
  <c r="N27" i="11"/>
  <c r="O27" i="11" s="1"/>
  <c r="N27" i="12"/>
  <c r="O27" i="12" s="1"/>
  <c r="G27" i="12"/>
  <c r="I27" i="12" s="1"/>
  <c r="J27" i="12" s="1"/>
  <c r="K27" i="12" s="1"/>
  <c r="N16" i="12"/>
  <c r="O16" i="12" s="1"/>
  <c r="G16" i="12"/>
  <c r="I16" i="12" s="1"/>
  <c r="J16" i="12" s="1"/>
  <c r="K16" i="12" s="1"/>
  <c r="N21" i="12"/>
  <c r="O21" i="12" s="1"/>
  <c r="G21" i="12"/>
  <c r="I21" i="12" s="1"/>
  <c r="J21" i="12" s="1"/>
  <c r="K21" i="12" s="1"/>
  <c r="O25" i="4"/>
  <c r="O20" i="4"/>
  <c r="O14" i="4"/>
  <c r="O28" i="4"/>
  <c r="O7" i="4"/>
  <c r="O11" i="4"/>
  <c r="O19" i="4"/>
  <c r="O23" i="4"/>
  <c r="O8" i="4"/>
  <c r="O24" i="4"/>
  <c r="O17" i="4"/>
  <c r="O18" i="4"/>
  <c r="O12" i="4"/>
  <c r="O13" i="4"/>
  <c r="O15" i="4"/>
  <c r="O21" i="4"/>
  <c r="O22" i="4"/>
  <c r="O26" i="4"/>
  <c r="F9" i="1" l="1"/>
  <c r="F10" i="1"/>
  <c r="F11" i="1"/>
  <c r="F6" i="1"/>
  <c r="B12" i="1"/>
  <c r="B8" i="1"/>
  <c r="F8" i="1" s="1"/>
  <c r="B7" i="1"/>
  <c r="F7" i="1" s="1"/>
  <c r="F12" i="1" l="1"/>
  <c r="F13" i="1" l="1"/>
  <c r="D13" i="1" l="1"/>
  <c r="G7" i="4" l="1"/>
  <c r="I7" i="4" s="1"/>
  <c r="J7" i="4" s="1"/>
  <c r="K7" i="4" s="1"/>
  <c r="G23" i="4"/>
  <c r="I23" i="4" s="1"/>
  <c r="J23" i="4" s="1"/>
  <c r="K23" i="4" s="1"/>
  <c r="G24" i="4"/>
  <c r="I24" i="4" s="1"/>
  <c r="J24" i="4" s="1"/>
  <c r="K24" i="4" s="1"/>
  <c r="G8" i="4"/>
  <c r="I8" i="4" s="1"/>
  <c r="J8" i="4" s="1"/>
  <c r="K8" i="4" s="1"/>
  <c r="G21" i="4"/>
  <c r="I21" i="4" s="1"/>
  <c r="G13" i="4"/>
  <c r="I13" i="4" s="1"/>
  <c r="J13" i="4" s="1"/>
  <c r="K13" i="4" s="1"/>
  <c r="G15" i="4"/>
  <c r="I15" i="4" s="1"/>
  <c r="G28" i="4"/>
  <c r="I28" i="4" s="1"/>
  <c r="G17" i="4"/>
  <c r="I17" i="4" s="1"/>
  <c r="J17" i="4" s="1"/>
  <c r="K17" i="4" s="1"/>
  <c r="G10" i="4"/>
  <c r="I10" i="4" s="1"/>
  <c r="G19" i="4"/>
  <c r="I19" i="4" s="1"/>
  <c r="J19" i="4" s="1"/>
  <c r="K19" i="4" s="1"/>
  <c r="G11" i="4"/>
  <c r="I11" i="4" s="1"/>
  <c r="G22" i="4"/>
  <c r="I22" i="4" s="1"/>
  <c r="G16" i="4"/>
  <c r="I16" i="4" s="1"/>
  <c r="J16" i="4" s="1"/>
  <c r="K16" i="4" s="1"/>
  <c r="G18" i="4"/>
  <c r="I18" i="4" s="1"/>
  <c r="G20" i="4"/>
  <c r="I20" i="4" s="1"/>
  <c r="J20" i="4" s="1"/>
  <c r="K20" i="4" s="1"/>
  <c r="G26" i="4"/>
  <c r="I26" i="4" s="1"/>
  <c r="G9" i="4"/>
  <c r="I9" i="4" s="1"/>
  <c r="G14" i="4"/>
  <c r="I14" i="4" s="1"/>
  <c r="J14" i="4" s="1"/>
  <c r="K14" i="4" s="1"/>
  <c r="G25" i="4"/>
  <c r="I25" i="4" s="1"/>
  <c r="G27" i="4"/>
  <c r="I27" i="4" s="1"/>
  <c r="G12" i="4"/>
  <c r="I12" i="4" s="1"/>
  <c r="J11" i="4" l="1"/>
  <c r="K11" i="4" s="1"/>
  <c r="J10" i="4"/>
  <c r="K10" i="4" s="1"/>
  <c r="J25" i="4"/>
  <c r="K25" i="4" s="1"/>
  <c r="J26" i="4"/>
  <c r="K26" i="4" s="1"/>
  <c r="J15" i="4"/>
  <c r="K15" i="4" s="1"/>
  <c r="J28" i="4"/>
  <c r="K28" i="4" s="1"/>
  <c r="J27" i="4"/>
  <c r="K27" i="4" s="1"/>
  <c r="J21" i="4"/>
  <c r="K21" i="4" s="1"/>
  <c r="J9" i="4"/>
  <c r="K9" i="4" s="1"/>
  <c r="J18" i="4"/>
  <c r="K18" i="4" s="1"/>
  <c r="J12" i="4"/>
  <c r="K12" i="4" s="1"/>
  <c r="J22" i="4"/>
  <c r="K22" i="4" s="1"/>
  <c r="I18" i="1" l="1"/>
  <c r="I11" i="1" l="1"/>
  <c r="I8" i="1"/>
  <c r="I6" i="1"/>
  <c r="I10" i="1"/>
  <c r="I12" i="1"/>
  <c r="I9" i="1"/>
  <c r="I7" i="1"/>
  <c r="J18" i="1"/>
  <c r="M9" i="1" l="1"/>
  <c r="K37" i="5"/>
  <c r="K48" i="3"/>
  <c r="K63" i="3"/>
  <c r="I57" i="5"/>
  <c r="M12" i="1"/>
  <c r="K43" i="3"/>
  <c r="M10" i="1"/>
  <c r="K36" i="5"/>
  <c r="L8" i="5"/>
  <c r="M6" i="1"/>
  <c r="K20" i="3"/>
  <c r="M7" i="1"/>
  <c r="L18" i="5"/>
  <c r="K28" i="3"/>
  <c r="M8" i="1"/>
  <c r="K38" i="3"/>
  <c r="L28" i="5"/>
  <c r="J8" i="1"/>
  <c r="J11" i="1"/>
  <c r="J7" i="1"/>
  <c r="J12" i="1"/>
  <c r="J10" i="1"/>
  <c r="J9" i="1"/>
  <c r="J6" i="1"/>
  <c r="K55" i="3"/>
  <c r="M11" i="1"/>
  <c r="F52" i="5"/>
  <c r="L48" i="3" l="1"/>
  <c r="L37" i="5"/>
  <c r="N9" i="1"/>
  <c r="N12" i="1"/>
  <c r="J57" i="5"/>
  <c r="L63" i="3"/>
  <c r="T8" i="13"/>
  <c r="X8" i="13" s="1"/>
  <c r="AB8" i="13" s="1"/>
  <c r="T7" i="13"/>
  <c r="X7" i="13" s="1"/>
  <c r="AB7" i="13" s="1"/>
  <c r="L43" i="3"/>
  <c r="L36" i="5"/>
  <c r="N10" i="1"/>
  <c r="S22" i="11"/>
  <c r="W22" i="11" s="1"/>
  <c r="AA22" i="11" s="1"/>
  <c r="S18" i="11"/>
  <c r="W18" i="11" s="1"/>
  <c r="AA18" i="11" s="1"/>
  <c r="S14" i="11"/>
  <c r="W14" i="11" s="1"/>
  <c r="AA14" i="11" s="1"/>
  <c r="S21" i="11"/>
  <c r="W21" i="11" s="1"/>
  <c r="AA21" i="11" s="1"/>
  <c r="S20" i="11"/>
  <c r="W20" i="11" s="1"/>
  <c r="AA20" i="11" s="1"/>
  <c r="S19" i="11"/>
  <c r="W19" i="11" s="1"/>
  <c r="AA19" i="11" s="1"/>
  <c r="S10" i="11"/>
  <c r="W10" i="11" s="1"/>
  <c r="AA10" i="11" s="1"/>
  <c r="S15" i="11"/>
  <c r="W15" i="11" s="1"/>
  <c r="AA15" i="11" s="1"/>
  <c r="S9" i="11"/>
  <c r="W9" i="11" s="1"/>
  <c r="AA9" i="11" s="1"/>
  <c r="S7" i="11"/>
  <c r="W7" i="11" s="1"/>
  <c r="AA7" i="11" s="1"/>
  <c r="S28" i="11"/>
  <c r="W28" i="11" s="1"/>
  <c r="AA28" i="11" s="1"/>
  <c r="S17" i="11"/>
  <c r="W17" i="11" s="1"/>
  <c r="AA17" i="11" s="1"/>
  <c r="S27" i="11"/>
  <c r="W27" i="11" s="1"/>
  <c r="AA27" i="11" s="1"/>
  <c r="S25" i="11"/>
  <c r="W25" i="11" s="1"/>
  <c r="AA25" i="11" s="1"/>
  <c r="S24" i="11"/>
  <c r="W24" i="11" s="1"/>
  <c r="AA24" i="11" s="1"/>
  <c r="S16" i="11"/>
  <c r="W16" i="11" s="1"/>
  <c r="AA16" i="11" s="1"/>
  <c r="S8" i="11"/>
  <c r="W8" i="11" s="1"/>
  <c r="AA8" i="11" s="1"/>
  <c r="S26" i="11"/>
  <c r="W26" i="11" s="1"/>
  <c r="AA26" i="11" s="1"/>
  <c r="S11" i="11"/>
  <c r="W11" i="11" s="1"/>
  <c r="AA11" i="11" s="1"/>
  <c r="S13" i="11"/>
  <c r="W13" i="11" s="1"/>
  <c r="AA13" i="11" s="1"/>
  <c r="S23" i="11"/>
  <c r="W23" i="11" s="1"/>
  <c r="AA23" i="11" s="1"/>
  <c r="S12" i="11"/>
  <c r="W12" i="11" s="1"/>
  <c r="AA12" i="11" s="1"/>
  <c r="L28" i="3"/>
  <c r="M18" i="5"/>
  <c r="N7" i="1"/>
  <c r="L38" i="3"/>
  <c r="M28" i="5"/>
  <c r="N8" i="1"/>
  <c r="M13" i="1"/>
  <c r="N11" i="1"/>
  <c r="L55" i="3"/>
  <c r="G52" i="5"/>
  <c r="S15" i="12"/>
  <c r="W15" i="12" s="1"/>
  <c r="AA15" i="12" s="1"/>
  <c r="S11" i="12"/>
  <c r="W11" i="12" s="1"/>
  <c r="AA11" i="12" s="1"/>
  <c r="S27" i="12"/>
  <c r="W27" i="12" s="1"/>
  <c r="AA27" i="12" s="1"/>
  <c r="S12" i="12"/>
  <c r="W12" i="12" s="1"/>
  <c r="AA12" i="12" s="1"/>
  <c r="S22" i="12"/>
  <c r="W22" i="12" s="1"/>
  <c r="AA22" i="12" s="1"/>
  <c r="S17" i="12"/>
  <c r="W17" i="12" s="1"/>
  <c r="AA17" i="12" s="1"/>
  <c r="S16" i="12"/>
  <c r="W16" i="12" s="1"/>
  <c r="AA16" i="12" s="1"/>
  <c r="S21" i="12"/>
  <c r="W21" i="12" s="1"/>
  <c r="AA21" i="12" s="1"/>
  <c r="S24" i="12"/>
  <c r="W24" i="12" s="1"/>
  <c r="AA24" i="12" s="1"/>
  <c r="S19" i="12"/>
  <c r="W19" i="12" s="1"/>
  <c r="AA19" i="12" s="1"/>
  <c r="S8" i="12"/>
  <c r="W8" i="12" s="1"/>
  <c r="AA8" i="12" s="1"/>
  <c r="S13" i="12"/>
  <c r="W13" i="12" s="1"/>
  <c r="AA13" i="12" s="1"/>
  <c r="S28" i="12"/>
  <c r="W28" i="12" s="1"/>
  <c r="AA28" i="12" s="1"/>
  <c r="S25" i="12"/>
  <c r="W25" i="12" s="1"/>
  <c r="AA25" i="12" s="1"/>
  <c r="S18" i="12"/>
  <c r="W18" i="12" s="1"/>
  <c r="AA18" i="12" s="1"/>
  <c r="S7" i="12"/>
  <c r="W7" i="12" s="1"/>
  <c r="AA7" i="12" s="1"/>
  <c r="S23" i="12"/>
  <c r="W23" i="12" s="1"/>
  <c r="AA23" i="12" s="1"/>
  <c r="S14" i="12"/>
  <c r="W14" i="12" s="1"/>
  <c r="AA14" i="12" s="1"/>
  <c r="S9" i="12"/>
  <c r="W9" i="12" s="1"/>
  <c r="AA9" i="12" s="1"/>
  <c r="S26" i="12"/>
  <c r="W26" i="12" s="1"/>
  <c r="AA26" i="12" s="1"/>
  <c r="S10" i="12"/>
  <c r="W10" i="12" s="1"/>
  <c r="AA10" i="12" s="1"/>
  <c r="S20" i="12"/>
  <c r="W20" i="12" s="1"/>
  <c r="AA20" i="12" s="1"/>
  <c r="S25" i="4"/>
  <c r="W25" i="4" s="1"/>
  <c r="AA25" i="4" s="1"/>
  <c r="S22" i="4"/>
  <c r="W22" i="4" s="1"/>
  <c r="AA22" i="4" s="1"/>
  <c r="S11" i="4"/>
  <c r="W11" i="4" s="1"/>
  <c r="AA11" i="4" s="1"/>
  <c r="S27" i="4"/>
  <c r="W27" i="4" s="1"/>
  <c r="AA27" i="4" s="1"/>
  <c r="S12" i="4"/>
  <c r="W12" i="4" s="1"/>
  <c r="AA12" i="4" s="1"/>
  <c r="S14" i="4"/>
  <c r="W14" i="4" s="1"/>
  <c r="AA14" i="4" s="1"/>
  <c r="S19" i="4"/>
  <c r="W19" i="4" s="1"/>
  <c r="AA19" i="4" s="1"/>
  <c r="S9" i="4"/>
  <c r="W9" i="4" s="1"/>
  <c r="AA9" i="4" s="1"/>
  <c r="S13" i="4"/>
  <c r="W13" i="4" s="1"/>
  <c r="AA13" i="4" s="1"/>
  <c r="S17" i="4"/>
  <c r="W17" i="4" s="1"/>
  <c r="AA17" i="4" s="1"/>
  <c r="S23" i="4"/>
  <c r="W23" i="4" s="1"/>
  <c r="AA23" i="4" s="1"/>
  <c r="S24" i="4"/>
  <c r="W24" i="4" s="1"/>
  <c r="AA24" i="4" s="1"/>
  <c r="S16" i="4"/>
  <c r="W16" i="4" s="1"/>
  <c r="AA16" i="4" s="1"/>
  <c r="S7" i="4"/>
  <c r="W7" i="4" s="1"/>
  <c r="AA7" i="4" s="1"/>
  <c r="S10" i="4"/>
  <c r="W10" i="4" s="1"/>
  <c r="AA10" i="4" s="1"/>
  <c r="S26" i="4"/>
  <c r="W26" i="4" s="1"/>
  <c r="AA26" i="4" s="1"/>
  <c r="S15" i="4"/>
  <c r="W15" i="4" s="1"/>
  <c r="AA15" i="4" s="1"/>
  <c r="S8" i="4"/>
  <c r="W8" i="4" s="1"/>
  <c r="AA8" i="4" s="1"/>
  <c r="S18" i="4"/>
  <c r="W18" i="4" s="1"/>
  <c r="AA18" i="4" s="1"/>
  <c r="S28" i="4"/>
  <c r="W28" i="4" s="1"/>
  <c r="AA28" i="4" s="1"/>
  <c r="S21" i="4"/>
  <c r="W21" i="4" s="1"/>
  <c r="AA21" i="4" s="1"/>
  <c r="S20" i="4"/>
  <c r="W20" i="4" s="1"/>
  <c r="AA20" i="4" s="1"/>
  <c r="J9" i="9"/>
  <c r="J8" i="9"/>
  <c r="J16" i="9"/>
  <c r="J11" i="9"/>
  <c r="J10" i="9"/>
  <c r="J14" i="9"/>
  <c r="J13" i="9"/>
  <c r="J15" i="9"/>
  <c r="J7" i="9"/>
  <c r="J12" i="9"/>
  <c r="I8" i="10"/>
  <c r="I14" i="10"/>
  <c r="I26" i="10"/>
  <c r="I13" i="10"/>
  <c r="I22" i="10"/>
  <c r="I16" i="10"/>
  <c r="I12" i="10"/>
  <c r="I24" i="10"/>
  <c r="I20" i="10"/>
  <c r="I25" i="10"/>
  <c r="I7" i="10"/>
  <c r="I15" i="10"/>
  <c r="I11" i="10"/>
  <c r="I23" i="10"/>
  <c r="I9" i="10"/>
  <c r="I19" i="10"/>
  <c r="I21" i="10"/>
  <c r="I17" i="10"/>
  <c r="I10" i="10"/>
  <c r="I18" i="10"/>
  <c r="L20" i="3"/>
  <c r="N6" i="1"/>
  <c r="M8" i="5"/>
  <c r="L16" i="8"/>
  <c r="L10" i="8"/>
  <c r="L9" i="8"/>
  <c r="L11" i="8"/>
  <c r="L12" i="8"/>
  <c r="L8" i="8"/>
  <c r="L7" i="8"/>
  <c r="L14" i="8"/>
  <c r="L13" i="8"/>
  <c r="L17" i="8"/>
  <c r="L15" i="8"/>
  <c r="L18" i="8"/>
  <c r="N13" i="1" l="1"/>
  <c r="J13" i="1" s="1"/>
  <c r="N9" i="9"/>
  <c r="S9" i="9"/>
  <c r="AF10" i="12"/>
  <c r="AJ10" i="12"/>
  <c r="AJ23" i="11"/>
  <c r="AF23" i="11"/>
  <c r="J19" i="1"/>
  <c r="N14" i="1"/>
  <c r="AJ7" i="4"/>
  <c r="AF7" i="4"/>
  <c r="AJ12" i="12"/>
  <c r="AF12" i="12"/>
  <c r="AG8" i="13"/>
  <c r="AK8" i="13"/>
  <c r="M22" i="10"/>
  <c r="R22" i="10"/>
  <c r="AJ8" i="12"/>
  <c r="AF8" i="12"/>
  <c r="AF14" i="11"/>
  <c r="AJ14" i="11"/>
  <c r="P12" i="8"/>
  <c r="U12" i="8"/>
  <c r="R18" i="10"/>
  <c r="M18" i="10"/>
  <c r="R15" i="10"/>
  <c r="M15" i="10"/>
  <c r="M13" i="10"/>
  <c r="R13" i="10"/>
  <c r="N14" i="9"/>
  <c r="S14" i="9"/>
  <c r="AF28" i="4"/>
  <c r="AJ28" i="4"/>
  <c r="AJ24" i="4"/>
  <c r="AF24" i="4"/>
  <c r="AJ27" i="4"/>
  <c r="AF27" i="4"/>
  <c r="AF14" i="12"/>
  <c r="AJ14" i="12"/>
  <c r="AF19" i="12"/>
  <c r="AJ19" i="12"/>
  <c r="AF11" i="12"/>
  <c r="AJ11" i="12"/>
  <c r="AJ26" i="11"/>
  <c r="AF26" i="11"/>
  <c r="AF7" i="11"/>
  <c r="AJ7" i="11"/>
  <c r="AJ18" i="11"/>
  <c r="AF18" i="11"/>
  <c r="U7" i="13"/>
  <c r="Y7" i="13" s="1"/>
  <c r="AC7" i="13" s="1"/>
  <c r="U8" i="13"/>
  <c r="Y8" i="13" s="1"/>
  <c r="AC8" i="13" s="1"/>
  <c r="U14" i="8"/>
  <c r="P14" i="8"/>
  <c r="M12" i="10"/>
  <c r="R12" i="10"/>
  <c r="AJ10" i="4"/>
  <c r="AF10" i="4"/>
  <c r="AF22" i="12"/>
  <c r="AJ22" i="12"/>
  <c r="AK7" i="13"/>
  <c r="AG7" i="13"/>
  <c r="R16" i="10"/>
  <c r="M16" i="10"/>
  <c r="AF20" i="4"/>
  <c r="AJ20" i="4"/>
  <c r="AF14" i="4"/>
  <c r="AJ14" i="4"/>
  <c r="AF13" i="11"/>
  <c r="AJ13" i="11"/>
  <c r="P8" i="8"/>
  <c r="U8" i="8"/>
  <c r="N13" i="9"/>
  <c r="S13" i="9"/>
  <c r="AJ12" i="4"/>
  <c r="AF12" i="4"/>
  <c r="T28" i="12"/>
  <c r="X28" i="12" s="1"/>
  <c r="AB28" i="12" s="1"/>
  <c r="T25" i="12"/>
  <c r="X25" i="12" s="1"/>
  <c r="AB25" i="12" s="1"/>
  <c r="T7" i="12"/>
  <c r="X7" i="12" s="1"/>
  <c r="AB7" i="12" s="1"/>
  <c r="T21" i="12"/>
  <c r="X21" i="12" s="1"/>
  <c r="AB21" i="12" s="1"/>
  <c r="T20" i="12"/>
  <c r="X20" i="12" s="1"/>
  <c r="AB20" i="12" s="1"/>
  <c r="T27" i="12"/>
  <c r="X27" i="12" s="1"/>
  <c r="AB27" i="12" s="1"/>
  <c r="T17" i="12"/>
  <c r="X17" i="12" s="1"/>
  <c r="AB17" i="12" s="1"/>
  <c r="T9" i="12"/>
  <c r="X9" i="12" s="1"/>
  <c r="AB9" i="12" s="1"/>
  <c r="T26" i="12"/>
  <c r="X26" i="12" s="1"/>
  <c r="AB26" i="12" s="1"/>
  <c r="T19" i="12"/>
  <c r="X19" i="12" s="1"/>
  <c r="AB19" i="12" s="1"/>
  <c r="T11" i="12"/>
  <c r="X11" i="12" s="1"/>
  <c r="AB11" i="12" s="1"/>
  <c r="T14" i="12"/>
  <c r="X14" i="12" s="1"/>
  <c r="AB14" i="12" s="1"/>
  <c r="T24" i="12"/>
  <c r="X24" i="12" s="1"/>
  <c r="AB24" i="12" s="1"/>
  <c r="T16" i="12"/>
  <c r="X16" i="12" s="1"/>
  <c r="AB16" i="12" s="1"/>
  <c r="T15" i="12"/>
  <c r="X15" i="12" s="1"/>
  <c r="AB15" i="12" s="1"/>
  <c r="T18" i="12"/>
  <c r="X18" i="12" s="1"/>
  <c r="AB18" i="12" s="1"/>
  <c r="T8" i="12"/>
  <c r="X8" i="12" s="1"/>
  <c r="AB8" i="12" s="1"/>
  <c r="T22" i="12"/>
  <c r="X22" i="12" s="1"/>
  <c r="AB22" i="12" s="1"/>
  <c r="T13" i="12"/>
  <c r="X13" i="12" s="1"/>
  <c r="AB13" i="12" s="1"/>
  <c r="T10" i="12"/>
  <c r="X10" i="12" s="1"/>
  <c r="AB10" i="12" s="1"/>
  <c r="T23" i="12"/>
  <c r="X23" i="12" s="1"/>
  <c r="AB23" i="12" s="1"/>
  <c r="T12" i="12"/>
  <c r="X12" i="12" s="1"/>
  <c r="AB12" i="12" s="1"/>
  <c r="P11" i="8"/>
  <c r="U11" i="8"/>
  <c r="R10" i="10"/>
  <c r="M10" i="10"/>
  <c r="M7" i="10"/>
  <c r="R7" i="10"/>
  <c r="R26" i="10"/>
  <c r="M26" i="10"/>
  <c r="N10" i="9"/>
  <c r="S10" i="9"/>
  <c r="AF18" i="4"/>
  <c r="AJ18" i="4"/>
  <c r="AF23" i="4"/>
  <c r="AJ23" i="4"/>
  <c r="AJ11" i="4"/>
  <c r="AF11" i="4"/>
  <c r="AF23" i="12"/>
  <c r="AJ23" i="12"/>
  <c r="AJ24" i="12"/>
  <c r="AF24" i="12"/>
  <c r="AF15" i="12"/>
  <c r="AJ15" i="12"/>
  <c r="AF8" i="11"/>
  <c r="AJ8" i="11"/>
  <c r="AF9" i="11"/>
  <c r="AJ9" i="11"/>
  <c r="AF22" i="11"/>
  <c r="AJ22" i="11"/>
  <c r="T8" i="4"/>
  <c r="X8" i="4" s="1"/>
  <c r="AB8" i="4" s="1"/>
  <c r="T28" i="4"/>
  <c r="X28" i="4" s="1"/>
  <c r="AB28" i="4" s="1"/>
  <c r="T17" i="4"/>
  <c r="X17" i="4" s="1"/>
  <c r="AB17" i="4" s="1"/>
  <c r="T10" i="4"/>
  <c r="X10" i="4" s="1"/>
  <c r="AB10" i="4" s="1"/>
  <c r="T11" i="4"/>
  <c r="X11" i="4" s="1"/>
  <c r="AB11" i="4" s="1"/>
  <c r="T25" i="4"/>
  <c r="X25" i="4" s="1"/>
  <c r="AB25" i="4" s="1"/>
  <c r="T20" i="4"/>
  <c r="X20" i="4" s="1"/>
  <c r="AB20" i="4" s="1"/>
  <c r="T13" i="4"/>
  <c r="X13" i="4" s="1"/>
  <c r="AB13" i="4" s="1"/>
  <c r="T27" i="4"/>
  <c r="X27" i="4" s="1"/>
  <c r="AB27" i="4" s="1"/>
  <c r="T19" i="4"/>
  <c r="X19" i="4" s="1"/>
  <c r="AB19" i="4" s="1"/>
  <c r="T23" i="4"/>
  <c r="X23" i="4" s="1"/>
  <c r="AB23" i="4" s="1"/>
  <c r="T15" i="4"/>
  <c r="X15" i="4" s="1"/>
  <c r="AB15" i="4" s="1"/>
  <c r="T12" i="4"/>
  <c r="X12" i="4" s="1"/>
  <c r="AB12" i="4" s="1"/>
  <c r="T16" i="4"/>
  <c r="X16" i="4" s="1"/>
  <c r="AB16" i="4" s="1"/>
  <c r="T9" i="4"/>
  <c r="X9" i="4" s="1"/>
  <c r="AB9" i="4" s="1"/>
  <c r="T26" i="4"/>
  <c r="X26" i="4" s="1"/>
  <c r="AB26" i="4" s="1"/>
  <c r="T14" i="4"/>
  <c r="X14" i="4" s="1"/>
  <c r="AB14" i="4" s="1"/>
  <c r="T21" i="4"/>
  <c r="X21" i="4" s="1"/>
  <c r="AB21" i="4" s="1"/>
  <c r="T24" i="4"/>
  <c r="X24" i="4" s="1"/>
  <c r="AB24" i="4" s="1"/>
  <c r="T7" i="4"/>
  <c r="X7" i="4" s="1"/>
  <c r="AB7" i="4" s="1"/>
  <c r="T18" i="4"/>
  <c r="X18" i="4" s="1"/>
  <c r="AB18" i="4" s="1"/>
  <c r="T22" i="4"/>
  <c r="X22" i="4" s="1"/>
  <c r="AB22" i="4" s="1"/>
  <c r="S7" i="9"/>
  <c r="N7" i="9"/>
  <c r="AF19" i="4"/>
  <c r="AJ19" i="4"/>
  <c r="AJ27" i="11"/>
  <c r="AF27" i="11"/>
  <c r="P7" i="8"/>
  <c r="U7" i="8"/>
  <c r="S15" i="9"/>
  <c r="N15" i="9"/>
  <c r="AF26" i="12"/>
  <c r="AJ26" i="12"/>
  <c r="AF21" i="11"/>
  <c r="AJ21" i="11"/>
  <c r="R11" i="10"/>
  <c r="M11" i="10"/>
  <c r="AJ27" i="12"/>
  <c r="AF27" i="12"/>
  <c r="P18" i="8"/>
  <c r="U18" i="8"/>
  <c r="P9" i="8"/>
  <c r="U9" i="8"/>
  <c r="R25" i="10"/>
  <c r="M25" i="10"/>
  <c r="R14" i="10"/>
  <c r="M14" i="10"/>
  <c r="N11" i="9"/>
  <c r="S11" i="9"/>
  <c r="AF8" i="4"/>
  <c r="AJ8" i="4"/>
  <c r="AJ17" i="4"/>
  <c r="AF17" i="4"/>
  <c r="AJ22" i="4"/>
  <c r="AF22" i="4"/>
  <c r="AJ7" i="12"/>
  <c r="AF7" i="12"/>
  <c r="AJ21" i="12"/>
  <c r="AF21" i="12"/>
  <c r="J8" i="10"/>
  <c r="J17" i="10"/>
  <c r="J19" i="10"/>
  <c r="J9" i="10"/>
  <c r="J11" i="10"/>
  <c r="J25" i="10"/>
  <c r="J13" i="10"/>
  <c r="J16" i="10"/>
  <c r="J23" i="10"/>
  <c r="J21" i="10"/>
  <c r="J12" i="10"/>
  <c r="J10" i="10"/>
  <c r="J7" i="10"/>
  <c r="J24" i="10"/>
  <c r="J20" i="10"/>
  <c r="J14" i="10"/>
  <c r="J26" i="10"/>
  <c r="J18" i="10"/>
  <c r="J22" i="10"/>
  <c r="J15" i="10"/>
  <c r="T15" i="11"/>
  <c r="X15" i="11" s="1"/>
  <c r="AB15" i="11" s="1"/>
  <c r="T19" i="11"/>
  <c r="X19" i="11" s="1"/>
  <c r="AB19" i="11" s="1"/>
  <c r="T17" i="11"/>
  <c r="X17" i="11" s="1"/>
  <c r="AB17" i="11" s="1"/>
  <c r="T27" i="11"/>
  <c r="X27" i="11" s="1"/>
  <c r="AB27" i="11" s="1"/>
  <c r="T12" i="11"/>
  <c r="X12" i="11" s="1"/>
  <c r="AB12" i="11" s="1"/>
  <c r="T14" i="11"/>
  <c r="X14" i="11" s="1"/>
  <c r="AB14" i="11" s="1"/>
  <c r="T11" i="11"/>
  <c r="X11" i="11" s="1"/>
  <c r="AB11" i="11" s="1"/>
  <c r="T23" i="11"/>
  <c r="X23" i="11" s="1"/>
  <c r="AB23" i="11" s="1"/>
  <c r="T18" i="11"/>
  <c r="X18" i="11" s="1"/>
  <c r="AB18" i="11" s="1"/>
  <c r="T9" i="11"/>
  <c r="X9" i="11" s="1"/>
  <c r="AB9" i="11" s="1"/>
  <c r="T24" i="11"/>
  <c r="X24" i="11" s="1"/>
  <c r="AB24" i="11" s="1"/>
  <c r="T26" i="11"/>
  <c r="X26" i="11" s="1"/>
  <c r="AB26" i="11" s="1"/>
  <c r="T25" i="11"/>
  <c r="X25" i="11" s="1"/>
  <c r="AB25" i="11" s="1"/>
  <c r="T8" i="11"/>
  <c r="X8" i="11" s="1"/>
  <c r="AB8" i="11" s="1"/>
  <c r="T22" i="11"/>
  <c r="X22" i="11" s="1"/>
  <c r="AB22" i="11" s="1"/>
  <c r="T16" i="11"/>
  <c r="X16" i="11" s="1"/>
  <c r="AB16" i="11" s="1"/>
  <c r="T10" i="11"/>
  <c r="X10" i="11" s="1"/>
  <c r="AB10" i="11" s="1"/>
  <c r="T13" i="11"/>
  <c r="X13" i="11" s="1"/>
  <c r="AB13" i="11" s="1"/>
  <c r="T7" i="11"/>
  <c r="X7" i="11" s="1"/>
  <c r="AB7" i="11" s="1"/>
  <c r="T21" i="11"/>
  <c r="X21" i="11" s="1"/>
  <c r="AB21" i="11" s="1"/>
  <c r="T28" i="11"/>
  <c r="X28" i="11" s="1"/>
  <c r="AB28" i="11" s="1"/>
  <c r="T20" i="11"/>
  <c r="X20" i="11" s="1"/>
  <c r="AB20" i="11" s="1"/>
  <c r="AF16" i="11"/>
  <c r="AJ16" i="11"/>
  <c r="AJ15" i="11"/>
  <c r="AF15" i="11"/>
  <c r="AJ28" i="12"/>
  <c r="AF28" i="12"/>
  <c r="AF20" i="11"/>
  <c r="AJ20" i="11"/>
  <c r="AJ21" i="4"/>
  <c r="AF21" i="4"/>
  <c r="AF9" i="12"/>
  <c r="AJ9" i="12"/>
  <c r="AJ28" i="11"/>
  <c r="AF28" i="11"/>
  <c r="P15" i="8"/>
  <c r="U15" i="8"/>
  <c r="R17" i="10"/>
  <c r="M17" i="10"/>
  <c r="P17" i="8"/>
  <c r="U17" i="8"/>
  <c r="U10" i="8"/>
  <c r="P10" i="8"/>
  <c r="R21" i="10"/>
  <c r="M21" i="10"/>
  <c r="R20" i="10"/>
  <c r="M20" i="10"/>
  <c r="R8" i="10"/>
  <c r="M8" i="10"/>
  <c r="N16" i="9"/>
  <c r="S16" i="9"/>
  <c r="AF15" i="4"/>
  <c r="AJ15" i="4"/>
  <c r="AJ13" i="4"/>
  <c r="AF13" i="4"/>
  <c r="AF25" i="4"/>
  <c r="AJ25" i="4"/>
  <c r="AF18" i="12"/>
  <c r="AJ18" i="12"/>
  <c r="AJ16" i="12"/>
  <c r="AF16" i="12"/>
  <c r="AF24" i="11"/>
  <c r="AJ24" i="11"/>
  <c r="AJ10" i="11"/>
  <c r="AF10" i="11"/>
  <c r="M7" i="8"/>
  <c r="M17" i="8"/>
  <c r="M9" i="8"/>
  <c r="M14" i="8"/>
  <c r="M18" i="8"/>
  <c r="M8" i="8"/>
  <c r="M11" i="8"/>
  <c r="M12" i="8"/>
  <c r="M13" i="8"/>
  <c r="M16" i="8"/>
  <c r="M15" i="8"/>
  <c r="M10" i="8"/>
  <c r="K15" i="9"/>
  <c r="K16" i="9"/>
  <c r="K7" i="9"/>
  <c r="K14" i="9"/>
  <c r="K10" i="9"/>
  <c r="K11" i="9"/>
  <c r="K8" i="9"/>
  <c r="K9" i="9"/>
  <c r="K13" i="9"/>
  <c r="K12" i="9"/>
  <c r="R9" i="10"/>
  <c r="M9" i="10"/>
  <c r="I13" i="1"/>
  <c r="I19" i="1"/>
  <c r="M14" i="1"/>
  <c r="R23" i="10"/>
  <c r="M23" i="10"/>
  <c r="AJ13" i="12"/>
  <c r="AF13" i="12"/>
  <c r="AJ17" i="11"/>
  <c r="AF17" i="11"/>
  <c r="AJ16" i="4"/>
  <c r="AF16" i="4"/>
  <c r="AF11" i="11"/>
  <c r="AJ11" i="11"/>
  <c r="U13" i="8"/>
  <c r="P13" i="8"/>
  <c r="P16" i="8"/>
  <c r="U16" i="8"/>
  <c r="R19" i="10"/>
  <c r="M19" i="10"/>
  <c r="R24" i="10"/>
  <c r="M24" i="10"/>
  <c r="S12" i="9"/>
  <c r="N12" i="9"/>
  <c r="S8" i="9"/>
  <c r="N8" i="9"/>
  <c r="AJ26" i="4"/>
  <c r="AF26" i="4"/>
  <c r="AJ9" i="4"/>
  <c r="AF9" i="4"/>
  <c r="AF20" i="12"/>
  <c r="AJ20" i="12"/>
  <c r="AF25" i="12"/>
  <c r="AJ25" i="12"/>
  <c r="AJ17" i="12"/>
  <c r="AF17" i="12"/>
  <c r="AF12" i="11"/>
  <c r="AJ12" i="11"/>
  <c r="AF25" i="11"/>
  <c r="AJ25" i="11"/>
  <c r="AJ19" i="11"/>
  <c r="AF19" i="11"/>
  <c r="V13" i="8" l="1"/>
  <c r="Q13" i="8"/>
  <c r="N20" i="10"/>
  <c r="S20" i="10"/>
  <c r="AK24" i="4"/>
  <c r="AG24" i="4"/>
  <c r="AG20" i="12"/>
  <c r="AK20" i="12"/>
  <c r="AG13" i="11"/>
  <c r="AK13" i="11"/>
  <c r="AK19" i="4"/>
  <c r="AG19" i="4"/>
  <c r="AK14" i="12"/>
  <c r="AG14" i="12"/>
  <c r="AG15" i="11"/>
  <c r="AK15" i="11"/>
  <c r="N7" i="10"/>
  <c r="S7" i="10"/>
  <c r="S11" i="10"/>
  <c r="N11" i="10"/>
  <c r="AG14" i="4"/>
  <c r="AK14" i="4"/>
  <c r="AK27" i="4"/>
  <c r="AG27" i="4"/>
  <c r="AK8" i="4"/>
  <c r="AG8" i="4"/>
  <c r="AG13" i="12"/>
  <c r="AK13" i="12"/>
  <c r="AK11" i="12"/>
  <c r="AG11" i="12"/>
  <c r="AG7" i="12"/>
  <c r="AK7" i="12"/>
  <c r="T12" i="9"/>
  <c r="O12" i="9"/>
  <c r="O16" i="9"/>
  <c r="T16" i="9"/>
  <c r="Q8" i="8"/>
  <c r="V8" i="8"/>
  <c r="AG16" i="11"/>
  <c r="AK16" i="11"/>
  <c r="AG23" i="11"/>
  <c r="AK23" i="11"/>
  <c r="S15" i="10"/>
  <c r="N15" i="10"/>
  <c r="S10" i="10"/>
  <c r="N10" i="10"/>
  <c r="N9" i="10"/>
  <c r="S9" i="10"/>
  <c r="AG26" i="4"/>
  <c r="AK26" i="4"/>
  <c r="AG13" i="4"/>
  <c r="AK13" i="4"/>
  <c r="AK22" i="12"/>
  <c r="AG22" i="12"/>
  <c r="AK19" i="12"/>
  <c r="AG19" i="12"/>
  <c r="AK25" i="12"/>
  <c r="AG25" i="12"/>
  <c r="T10" i="9"/>
  <c r="O10" i="9"/>
  <c r="AK24" i="11"/>
  <c r="AG24" i="11"/>
  <c r="S13" i="10"/>
  <c r="N13" i="10"/>
  <c r="AK17" i="4"/>
  <c r="AG17" i="4"/>
  <c r="AK24" i="12"/>
  <c r="AG24" i="12"/>
  <c r="T14" i="9"/>
  <c r="O14" i="9"/>
  <c r="N24" i="10"/>
  <c r="S24" i="10"/>
  <c r="AG21" i="4"/>
  <c r="AK21" i="4"/>
  <c r="AK21" i="12"/>
  <c r="AG21" i="12"/>
  <c r="AK18" i="11"/>
  <c r="AG18" i="11"/>
  <c r="T15" i="9"/>
  <c r="O15" i="9"/>
  <c r="AG22" i="11"/>
  <c r="AK22" i="11"/>
  <c r="AG11" i="11"/>
  <c r="AK11" i="11"/>
  <c r="N19" i="10"/>
  <c r="S19" i="10"/>
  <c r="AG9" i="4"/>
  <c r="AK9" i="4"/>
  <c r="AK8" i="12"/>
  <c r="AG8" i="12"/>
  <c r="T9" i="9"/>
  <c r="O9" i="9"/>
  <c r="V10" i="8"/>
  <c r="Q10" i="8"/>
  <c r="Q14" i="8"/>
  <c r="V14" i="8"/>
  <c r="AG20" i="11"/>
  <c r="AK20" i="11"/>
  <c r="AG8" i="11"/>
  <c r="AK8" i="11"/>
  <c r="AG14" i="11"/>
  <c r="AK14" i="11"/>
  <c r="N18" i="10"/>
  <c r="S18" i="10"/>
  <c r="N21" i="10"/>
  <c r="S21" i="10"/>
  <c r="S17" i="10"/>
  <c r="N17" i="10"/>
  <c r="AG22" i="4"/>
  <c r="AK22" i="4"/>
  <c r="AK16" i="4"/>
  <c r="AG16" i="4"/>
  <c r="AG25" i="4"/>
  <c r="AK25" i="4"/>
  <c r="AG18" i="12"/>
  <c r="AK18" i="12"/>
  <c r="AG9" i="12"/>
  <c r="AK9" i="12"/>
  <c r="AL8" i="13"/>
  <c r="AH8" i="13"/>
  <c r="Q7" i="8"/>
  <c r="V7" i="8"/>
  <c r="AG7" i="11"/>
  <c r="AK7" i="11"/>
  <c r="AG17" i="11"/>
  <c r="AK17" i="11"/>
  <c r="AG23" i="4"/>
  <c r="AK23" i="4"/>
  <c r="AK23" i="12"/>
  <c r="AG23" i="12"/>
  <c r="AK9" i="11"/>
  <c r="AG9" i="11"/>
  <c r="S25" i="10"/>
  <c r="N25" i="10"/>
  <c r="AK28" i="4"/>
  <c r="AG28" i="4"/>
  <c r="T7" i="9"/>
  <c r="O7" i="9"/>
  <c r="AK10" i="11"/>
  <c r="AG10" i="11"/>
  <c r="O13" i="9"/>
  <c r="T13" i="9"/>
  <c r="S22" i="10"/>
  <c r="N22" i="10"/>
  <c r="AK20" i="4"/>
  <c r="AG20" i="4"/>
  <c r="AK26" i="12"/>
  <c r="AG26" i="12"/>
  <c r="AG28" i="12"/>
  <c r="AK28" i="12"/>
  <c r="T8" i="9"/>
  <c r="O8" i="9"/>
  <c r="Q15" i="8"/>
  <c r="V15" i="8"/>
  <c r="Q9" i="8"/>
  <c r="V9" i="8"/>
  <c r="AK28" i="11"/>
  <c r="AG28" i="11"/>
  <c r="AK25" i="11"/>
  <c r="AG25" i="11"/>
  <c r="AK12" i="11"/>
  <c r="AG12" i="11"/>
  <c r="N26" i="10"/>
  <c r="S26" i="10"/>
  <c r="S23" i="10"/>
  <c r="N23" i="10"/>
  <c r="N8" i="10"/>
  <c r="S8" i="10"/>
  <c r="AK18" i="4"/>
  <c r="AG18" i="4"/>
  <c r="AK12" i="4"/>
  <c r="AG12" i="4"/>
  <c r="AG11" i="4"/>
  <c r="AK11" i="4"/>
  <c r="AG15" i="12"/>
  <c r="AK15" i="12"/>
  <c r="AG17" i="12"/>
  <c r="AK17" i="12"/>
  <c r="AL7" i="13"/>
  <c r="AH7" i="13"/>
  <c r="V12" i="8"/>
  <c r="Q12" i="8"/>
  <c r="AG19" i="11"/>
  <c r="AK19" i="11"/>
  <c r="AG10" i="12"/>
  <c r="AK10" i="12"/>
  <c r="V11" i="8"/>
  <c r="Q11" i="8"/>
  <c r="V18" i="8"/>
  <c r="Q18" i="8"/>
  <c r="S12" i="10"/>
  <c r="N12" i="10"/>
  <c r="O11" i="9"/>
  <c r="T11" i="9"/>
  <c r="V16" i="8"/>
  <c r="Q16" i="8"/>
  <c r="Q17" i="8"/>
  <c r="V17" i="8"/>
  <c r="AK21" i="11"/>
  <c r="AG21" i="11"/>
  <c r="AG26" i="11"/>
  <c r="AK26" i="11"/>
  <c r="AK27" i="11"/>
  <c r="AG27" i="11"/>
  <c r="N14" i="10"/>
  <c r="S14" i="10"/>
  <c r="N16" i="10"/>
  <c r="S16" i="10"/>
  <c r="AK7" i="4"/>
  <c r="AG7" i="4"/>
  <c r="AG15" i="4"/>
  <c r="AK15" i="4"/>
  <c r="AG10" i="4"/>
  <c r="AK10" i="4"/>
  <c r="AG12" i="12"/>
  <c r="AK12" i="12"/>
  <c r="AG16" i="12"/>
  <c r="AK16" i="12"/>
  <c r="AG27" i="12"/>
  <c r="AK27" i="12"/>
  <c r="H18" i="1" l="1"/>
  <c r="P18" i="1"/>
  <c r="H6" i="1" l="1"/>
  <c r="H10" i="1"/>
  <c r="H7" i="1"/>
  <c r="H12" i="1"/>
  <c r="H9" i="1"/>
  <c r="H11" i="1"/>
  <c r="H8" i="1"/>
  <c r="J55" i="3" l="1"/>
  <c r="E52" i="5"/>
  <c r="L11" i="1"/>
  <c r="P11" i="1"/>
  <c r="J48" i="3"/>
  <c r="J37" i="5"/>
  <c r="P9" i="1"/>
  <c r="L9" i="1"/>
  <c r="L10" i="1"/>
  <c r="P10" i="1"/>
  <c r="J36" i="5"/>
  <c r="J43" i="3"/>
  <c r="K28" i="5"/>
  <c r="J38" i="3"/>
  <c r="P8" i="1"/>
  <c r="L8" i="1"/>
  <c r="J63" i="3"/>
  <c r="L12" i="1"/>
  <c r="H57" i="5"/>
  <c r="P12" i="1"/>
  <c r="J28" i="3"/>
  <c r="K18" i="5"/>
  <c r="L7" i="1"/>
  <c r="P7" i="1"/>
  <c r="L6" i="1"/>
  <c r="J20" i="3"/>
  <c r="K8" i="5"/>
  <c r="P6" i="1"/>
  <c r="I8" i="9" l="1"/>
  <c r="I9" i="9"/>
  <c r="I13" i="9"/>
  <c r="I10" i="9"/>
  <c r="I12" i="9"/>
  <c r="I7" i="9"/>
  <c r="I14" i="9"/>
  <c r="I16" i="9"/>
  <c r="I15" i="9"/>
  <c r="I11" i="9"/>
  <c r="R20" i="12"/>
  <c r="V20" i="12" s="1"/>
  <c r="Z20" i="12" s="1"/>
  <c r="R11" i="12"/>
  <c r="V11" i="12" s="1"/>
  <c r="Z11" i="12" s="1"/>
  <c r="R8" i="12"/>
  <c r="V8" i="12" s="1"/>
  <c r="Z8" i="12" s="1"/>
  <c r="R12" i="12"/>
  <c r="V12" i="12" s="1"/>
  <c r="Z12" i="12" s="1"/>
  <c r="R28" i="12"/>
  <c r="V28" i="12" s="1"/>
  <c r="Z28" i="12" s="1"/>
  <c r="R14" i="12"/>
  <c r="V14" i="12" s="1"/>
  <c r="Z14" i="12" s="1"/>
  <c r="R21" i="12"/>
  <c r="V21" i="12" s="1"/>
  <c r="Z21" i="12" s="1"/>
  <c r="R17" i="12"/>
  <c r="V17" i="12" s="1"/>
  <c r="Z17" i="12" s="1"/>
  <c r="R10" i="12"/>
  <c r="V10" i="12" s="1"/>
  <c r="Z10" i="12" s="1"/>
  <c r="R22" i="12"/>
  <c r="V22" i="12" s="1"/>
  <c r="Z22" i="12" s="1"/>
  <c r="R23" i="12"/>
  <c r="V23" i="12" s="1"/>
  <c r="Z23" i="12" s="1"/>
  <c r="R26" i="12"/>
  <c r="V26" i="12" s="1"/>
  <c r="Z26" i="12" s="1"/>
  <c r="R27" i="12"/>
  <c r="V27" i="12" s="1"/>
  <c r="Z27" i="12" s="1"/>
  <c r="R9" i="12"/>
  <c r="V9" i="12" s="1"/>
  <c r="Z9" i="12" s="1"/>
  <c r="R25" i="12"/>
  <c r="V25" i="12" s="1"/>
  <c r="Z25" i="12" s="1"/>
  <c r="R7" i="12"/>
  <c r="V7" i="12" s="1"/>
  <c r="Z7" i="12" s="1"/>
  <c r="R24" i="12"/>
  <c r="V24" i="12" s="1"/>
  <c r="Z24" i="12" s="1"/>
  <c r="R19" i="12"/>
  <c r="V19" i="12" s="1"/>
  <c r="Z19" i="12" s="1"/>
  <c r="R18" i="12"/>
  <c r="V18" i="12" s="1"/>
  <c r="Z18" i="12" s="1"/>
  <c r="R16" i="12"/>
  <c r="V16" i="12" s="1"/>
  <c r="Z16" i="12" s="1"/>
  <c r="R15" i="12"/>
  <c r="V15" i="12" s="1"/>
  <c r="Z15" i="12" s="1"/>
  <c r="R13" i="12"/>
  <c r="V13" i="12" s="1"/>
  <c r="Z13" i="12" s="1"/>
  <c r="R28" i="11"/>
  <c r="V28" i="11" s="1"/>
  <c r="Z28" i="11" s="1"/>
  <c r="R13" i="11"/>
  <c r="V13" i="11" s="1"/>
  <c r="Z13" i="11" s="1"/>
  <c r="R14" i="11"/>
  <c r="V14" i="11" s="1"/>
  <c r="Z14" i="11" s="1"/>
  <c r="R11" i="11"/>
  <c r="V11" i="11" s="1"/>
  <c r="Z11" i="11" s="1"/>
  <c r="R26" i="11"/>
  <c r="V26" i="11" s="1"/>
  <c r="Z26" i="11" s="1"/>
  <c r="R20" i="11"/>
  <c r="V20" i="11" s="1"/>
  <c r="Z20" i="11" s="1"/>
  <c r="R15" i="11"/>
  <c r="V15" i="11" s="1"/>
  <c r="Z15" i="11" s="1"/>
  <c r="R21" i="11"/>
  <c r="V21" i="11" s="1"/>
  <c r="Z21" i="11" s="1"/>
  <c r="R16" i="11"/>
  <c r="V16" i="11" s="1"/>
  <c r="Z16" i="11" s="1"/>
  <c r="R25" i="11"/>
  <c r="V25" i="11" s="1"/>
  <c r="Z25" i="11" s="1"/>
  <c r="R7" i="11"/>
  <c r="V7" i="11" s="1"/>
  <c r="Z7" i="11" s="1"/>
  <c r="R23" i="11"/>
  <c r="V23" i="11" s="1"/>
  <c r="Z23" i="11" s="1"/>
  <c r="R19" i="11"/>
  <c r="V19" i="11" s="1"/>
  <c r="Z19" i="11" s="1"/>
  <c r="R24" i="11"/>
  <c r="V24" i="11" s="1"/>
  <c r="Z24" i="11" s="1"/>
  <c r="R9" i="11"/>
  <c r="V9" i="11" s="1"/>
  <c r="Z9" i="11" s="1"/>
  <c r="R10" i="11"/>
  <c r="V10" i="11" s="1"/>
  <c r="Z10" i="11" s="1"/>
  <c r="R22" i="11"/>
  <c r="V22" i="11" s="1"/>
  <c r="Z22" i="11" s="1"/>
  <c r="R18" i="11"/>
  <c r="V18" i="11" s="1"/>
  <c r="Z18" i="11" s="1"/>
  <c r="R17" i="11"/>
  <c r="V17" i="11" s="1"/>
  <c r="Z17" i="11" s="1"/>
  <c r="R12" i="11"/>
  <c r="V12" i="11" s="1"/>
  <c r="Z12" i="11" s="1"/>
  <c r="R8" i="11"/>
  <c r="V8" i="11" s="1"/>
  <c r="Z8" i="11" s="1"/>
  <c r="R27" i="11"/>
  <c r="V27" i="11" s="1"/>
  <c r="Z27" i="11" s="1"/>
  <c r="R11" i="4"/>
  <c r="V11" i="4" s="1"/>
  <c r="Z11" i="4" s="1"/>
  <c r="R28" i="4"/>
  <c r="V28" i="4" s="1"/>
  <c r="Z28" i="4" s="1"/>
  <c r="R26" i="4"/>
  <c r="V26" i="4" s="1"/>
  <c r="Z26" i="4" s="1"/>
  <c r="R17" i="4"/>
  <c r="V17" i="4" s="1"/>
  <c r="Z17" i="4" s="1"/>
  <c r="R19" i="4"/>
  <c r="V19" i="4" s="1"/>
  <c r="Z19" i="4" s="1"/>
  <c r="R15" i="4"/>
  <c r="V15" i="4" s="1"/>
  <c r="Z15" i="4" s="1"/>
  <c r="R27" i="4"/>
  <c r="V27" i="4" s="1"/>
  <c r="Z27" i="4" s="1"/>
  <c r="R21" i="4"/>
  <c r="V21" i="4" s="1"/>
  <c r="Z21" i="4" s="1"/>
  <c r="R14" i="4"/>
  <c r="V14" i="4" s="1"/>
  <c r="Z14" i="4" s="1"/>
  <c r="R23" i="4"/>
  <c r="V23" i="4" s="1"/>
  <c r="Z23" i="4" s="1"/>
  <c r="R9" i="4"/>
  <c r="V9" i="4" s="1"/>
  <c r="Z9" i="4" s="1"/>
  <c r="R13" i="4"/>
  <c r="V13" i="4" s="1"/>
  <c r="Z13" i="4" s="1"/>
  <c r="R10" i="4"/>
  <c r="V10" i="4" s="1"/>
  <c r="Z10" i="4" s="1"/>
  <c r="R18" i="4"/>
  <c r="V18" i="4" s="1"/>
  <c r="Z18" i="4" s="1"/>
  <c r="R7" i="4"/>
  <c r="V7" i="4" s="1"/>
  <c r="Z7" i="4" s="1"/>
  <c r="R8" i="4"/>
  <c r="V8" i="4" s="1"/>
  <c r="Z8" i="4" s="1"/>
  <c r="R12" i="4"/>
  <c r="V12" i="4" s="1"/>
  <c r="Z12" i="4" s="1"/>
  <c r="R16" i="4"/>
  <c r="V16" i="4" s="1"/>
  <c r="Z16" i="4" s="1"/>
  <c r="R22" i="4"/>
  <c r="V22" i="4" s="1"/>
  <c r="Z22" i="4" s="1"/>
  <c r="R25" i="4"/>
  <c r="V25" i="4" s="1"/>
  <c r="Z25" i="4" s="1"/>
  <c r="R24" i="4"/>
  <c r="V24" i="4" s="1"/>
  <c r="Z24" i="4" s="1"/>
  <c r="R20" i="4"/>
  <c r="V20" i="4" s="1"/>
  <c r="Z20" i="4" s="1"/>
  <c r="S7" i="13"/>
  <c r="W7" i="13" s="1"/>
  <c r="AA7" i="13" s="1"/>
  <c r="S8" i="13"/>
  <c r="W8" i="13" s="1"/>
  <c r="AA8" i="13" s="1"/>
  <c r="K10" i="8"/>
  <c r="K8" i="8"/>
  <c r="K14" i="8"/>
  <c r="K16" i="8"/>
  <c r="K17" i="8"/>
  <c r="K9" i="8"/>
  <c r="K7" i="8"/>
  <c r="K15" i="8"/>
  <c r="K18" i="8"/>
  <c r="K12" i="8"/>
  <c r="K11" i="8"/>
  <c r="K13" i="8"/>
  <c r="H12" i="10"/>
  <c r="H26" i="10"/>
  <c r="H8" i="10"/>
  <c r="H20" i="10"/>
  <c r="H13" i="10"/>
  <c r="H16" i="10"/>
  <c r="H22" i="10"/>
  <c r="H21" i="10"/>
  <c r="H25" i="10"/>
  <c r="H24" i="10"/>
  <c r="H15" i="10"/>
  <c r="H14" i="10"/>
  <c r="H19" i="10"/>
  <c r="H11" i="10"/>
  <c r="H23" i="10"/>
  <c r="H7" i="10"/>
  <c r="H17" i="10"/>
  <c r="H18" i="10"/>
  <c r="H9" i="10"/>
  <c r="H10" i="10"/>
  <c r="L13" i="1"/>
  <c r="Q16" i="10" l="1"/>
  <c r="T16" i="10" s="1"/>
  <c r="L16" i="10"/>
  <c r="O16" i="10" s="1"/>
  <c r="T12" i="8"/>
  <c r="W12" i="8" s="1"/>
  <c r="O12" i="8"/>
  <c r="R12" i="8" s="1"/>
  <c r="AE23" i="4"/>
  <c r="AH23" i="4" s="1"/>
  <c r="AI23" i="4"/>
  <c r="AL23" i="4" s="1"/>
  <c r="AI21" i="11"/>
  <c r="AL21" i="11" s="1"/>
  <c r="AE21" i="11"/>
  <c r="AH21" i="11" s="1"/>
  <c r="AE14" i="12"/>
  <c r="AH14" i="12" s="1"/>
  <c r="AI14" i="12"/>
  <c r="AL14" i="12" s="1"/>
  <c r="Q19" i="10"/>
  <c r="T19" i="10" s="1"/>
  <c r="L19" i="10"/>
  <c r="O19" i="10" s="1"/>
  <c r="AI15" i="11"/>
  <c r="AL15" i="11" s="1"/>
  <c r="AE15" i="11"/>
  <c r="AH15" i="11" s="1"/>
  <c r="R14" i="9"/>
  <c r="U14" i="9" s="1"/>
  <c r="M14" i="9"/>
  <c r="P14" i="9" s="1"/>
  <c r="Q10" i="10"/>
  <c r="T10" i="10" s="1"/>
  <c r="L10" i="10"/>
  <c r="O10" i="10" s="1"/>
  <c r="Q14" i="10"/>
  <c r="T14" i="10" s="1"/>
  <c r="L14" i="10"/>
  <c r="O14" i="10" s="1"/>
  <c r="L20" i="10"/>
  <c r="O20" i="10" s="1"/>
  <c r="Q20" i="10"/>
  <c r="T20" i="10" s="1"/>
  <c r="T15" i="8"/>
  <c r="W15" i="8" s="1"/>
  <c r="O15" i="8"/>
  <c r="R15" i="8" s="1"/>
  <c r="AF8" i="13"/>
  <c r="AI8" i="13" s="1"/>
  <c r="AJ8" i="13"/>
  <c r="AM8" i="13" s="1"/>
  <c r="AI8" i="4"/>
  <c r="AL8" i="4" s="1"/>
  <c r="AE8" i="4"/>
  <c r="AH8" i="4" s="1"/>
  <c r="AE21" i="4"/>
  <c r="AH21" i="4" s="1"/>
  <c r="AI21" i="4"/>
  <c r="AL21" i="4" s="1"/>
  <c r="AI27" i="11"/>
  <c r="AL27" i="11" s="1"/>
  <c r="AE27" i="11"/>
  <c r="AH27" i="11" s="1"/>
  <c r="AE24" i="11"/>
  <c r="AH24" i="11" s="1"/>
  <c r="AI24" i="11"/>
  <c r="AL24" i="11" s="1"/>
  <c r="AI20" i="11"/>
  <c r="AL20" i="11" s="1"/>
  <c r="AE20" i="11"/>
  <c r="AH20" i="11" s="1"/>
  <c r="AI16" i="12"/>
  <c r="AL16" i="12" s="1"/>
  <c r="AE16" i="12"/>
  <c r="AH16" i="12" s="1"/>
  <c r="AI26" i="12"/>
  <c r="AL26" i="12" s="1"/>
  <c r="AE26" i="12"/>
  <c r="AH26" i="12" s="1"/>
  <c r="AE12" i="12"/>
  <c r="AH12" i="12" s="1"/>
  <c r="AI12" i="12"/>
  <c r="AL12" i="12" s="1"/>
  <c r="M7" i="9"/>
  <c r="P7" i="9" s="1"/>
  <c r="R7" i="9"/>
  <c r="U7" i="9" s="1"/>
  <c r="R16" i="9"/>
  <c r="U16" i="9" s="1"/>
  <c r="M16" i="9"/>
  <c r="P16" i="9" s="1"/>
  <c r="O10" i="8"/>
  <c r="R10" i="8" s="1"/>
  <c r="T10" i="8"/>
  <c r="W10" i="8" s="1"/>
  <c r="AE14" i="4"/>
  <c r="AH14" i="4" s="1"/>
  <c r="AI14" i="4"/>
  <c r="AL14" i="4" s="1"/>
  <c r="AI11" i="4"/>
  <c r="AL11" i="4" s="1"/>
  <c r="AE11" i="4"/>
  <c r="AH11" i="4" s="1"/>
  <c r="AE9" i="11"/>
  <c r="AH9" i="11" s="1"/>
  <c r="AI9" i="11"/>
  <c r="AL9" i="11" s="1"/>
  <c r="AE15" i="12"/>
  <c r="AH15" i="12" s="1"/>
  <c r="AI15" i="12"/>
  <c r="AL15" i="12" s="1"/>
  <c r="AE27" i="12"/>
  <c r="AH27" i="12" s="1"/>
  <c r="AI27" i="12"/>
  <c r="AL27" i="12" s="1"/>
  <c r="AI28" i="12"/>
  <c r="AL28" i="12" s="1"/>
  <c r="AE28" i="12"/>
  <c r="AH28" i="12" s="1"/>
  <c r="L9" i="10"/>
  <c r="O9" i="10" s="1"/>
  <c r="Q9" i="10"/>
  <c r="T9" i="10" s="1"/>
  <c r="Q15" i="10"/>
  <c r="T15" i="10" s="1"/>
  <c r="L15" i="10"/>
  <c r="O15" i="10" s="1"/>
  <c r="L8" i="10"/>
  <c r="O8" i="10" s="1"/>
  <c r="Q8" i="10"/>
  <c r="T8" i="10" s="1"/>
  <c r="T7" i="8"/>
  <c r="W7" i="8" s="1"/>
  <c r="O7" i="8"/>
  <c r="R7" i="8" s="1"/>
  <c r="AF7" i="13"/>
  <c r="AI7" i="13" s="1"/>
  <c r="AJ7" i="13"/>
  <c r="AM7" i="13" s="1"/>
  <c r="AI7" i="4"/>
  <c r="AL7" i="4" s="1"/>
  <c r="AE7" i="4"/>
  <c r="AH7" i="4" s="1"/>
  <c r="AE27" i="4"/>
  <c r="AH27" i="4" s="1"/>
  <c r="AI27" i="4"/>
  <c r="AL27" i="4" s="1"/>
  <c r="AI8" i="11"/>
  <c r="AL8" i="11" s="1"/>
  <c r="AE8" i="11"/>
  <c r="AH8" i="11" s="1"/>
  <c r="AE19" i="11"/>
  <c r="AH19" i="11" s="1"/>
  <c r="AI19" i="11"/>
  <c r="AL19" i="11" s="1"/>
  <c r="AI26" i="11"/>
  <c r="AL26" i="11" s="1"/>
  <c r="AE26" i="11"/>
  <c r="AH26" i="11" s="1"/>
  <c r="AI18" i="12"/>
  <c r="AL18" i="12" s="1"/>
  <c r="AE18" i="12"/>
  <c r="AH18" i="12" s="1"/>
  <c r="AE23" i="12"/>
  <c r="AH23" i="12" s="1"/>
  <c r="AI23" i="12"/>
  <c r="AL23" i="12" s="1"/>
  <c r="AI8" i="12"/>
  <c r="AL8" i="12" s="1"/>
  <c r="AE8" i="12"/>
  <c r="AH8" i="12" s="1"/>
  <c r="M12" i="9"/>
  <c r="P12" i="9" s="1"/>
  <c r="R12" i="9"/>
  <c r="U12" i="9" s="1"/>
  <c r="T8" i="8"/>
  <c r="W8" i="8" s="1"/>
  <c r="O8" i="8"/>
  <c r="R8" i="8" s="1"/>
  <c r="AE28" i="4"/>
  <c r="AH28" i="4" s="1"/>
  <c r="AI28" i="4"/>
  <c r="AL28" i="4" s="1"/>
  <c r="T18" i="8"/>
  <c r="W18" i="8" s="1"/>
  <c r="O18" i="8"/>
  <c r="R18" i="8" s="1"/>
  <c r="L18" i="10"/>
  <c r="O18" i="10" s="1"/>
  <c r="Q18" i="10"/>
  <c r="T18" i="10" s="1"/>
  <c r="Q24" i="10"/>
  <c r="T24" i="10" s="1"/>
  <c r="L24" i="10"/>
  <c r="O24" i="10" s="1"/>
  <c r="O9" i="8"/>
  <c r="R9" i="8" s="1"/>
  <c r="T9" i="8"/>
  <c r="W9" i="8" s="1"/>
  <c r="AI12" i="11"/>
  <c r="AL12" i="11" s="1"/>
  <c r="AE12" i="11"/>
  <c r="AH12" i="11" s="1"/>
  <c r="AE19" i="12"/>
  <c r="AH19" i="12" s="1"/>
  <c r="AI19" i="12"/>
  <c r="AL19" i="12" s="1"/>
  <c r="AI22" i="12"/>
  <c r="AL22" i="12" s="1"/>
  <c r="AE22" i="12"/>
  <c r="AH22" i="12" s="1"/>
  <c r="L12" i="10"/>
  <c r="O12" i="10" s="1"/>
  <c r="Q12" i="10"/>
  <c r="T12" i="10" s="1"/>
  <c r="O17" i="8"/>
  <c r="R17" i="8" s="1"/>
  <c r="T17" i="8"/>
  <c r="W17" i="8" s="1"/>
  <c r="AE24" i="4"/>
  <c r="AH24" i="4" s="1"/>
  <c r="AI24" i="4"/>
  <c r="AL24" i="4" s="1"/>
  <c r="AI10" i="4"/>
  <c r="AL10" i="4" s="1"/>
  <c r="AE10" i="4"/>
  <c r="AH10" i="4" s="1"/>
  <c r="AI19" i="4"/>
  <c r="AL19" i="4" s="1"/>
  <c r="AE19" i="4"/>
  <c r="AH19" i="4" s="1"/>
  <c r="AE17" i="11"/>
  <c r="AH17" i="11" s="1"/>
  <c r="AI17" i="11"/>
  <c r="AL17" i="11" s="1"/>
  <c r="AE7" i="11"/>
  <c r="AH7" i="11" s="1"/>
  <c r="AI7" i="11"/>
  <c r="AL7" i="11" s="1"/>
  <c r="AI14" i="11"/>
  <c r="AL14" i="11" s="1"/>
  <c r="AE14" i="11"/>
  <c r="AH14" i="11" s="1"/>
  <c r="AE24" i="12"/>
  <c r="AH24" i="12" s="1"/>
  <c r="AI24" i="12"/>
  <c r="AL24" i="12" s="1"/>
  <c r="AE10" i="12"/>
  <c r="AH10" i="12" s="1"/>
  <c r="AI10" i="12"/>
  <c r="AL10" i="12" s="1"/>
  <c r="AI20" i="12"/>
  <c r="AL20" i="12" s="1"/>
  <c r="AE20" i="12"/>
  <c r="AH20" i="12" s="1"/>
  <c r="R13" i="9"/>
  <c r="U13" i="9" s="1"/>
  <c r="M13" i="9"/>
  <c r="P13" i="9" s="1"/>
  <c r="Q11" i="10"/>
  <c r="T11" i="10" s="1"/>
  <c r="L11" i="10"/>
  <c r="O11" i="10" s="1"/>
  <c r="AI16" i="4"/>
  <c r="AL16" i="4" s="1"/>
  <c r="AE16" i="4"/>
  <c r="AH16" i="4" s="1"/>
  <c r="AE13" i="12"/>
  <c r="AH13" i="12" s="1"/>
  <c r="AI13" i="12"/>
  <c r="AL13" i="12" s="1"/>
  <c r="L14" i="1"/>
  <c r="H19" i="1"/>
  <c r="H13" i="1"/>
  <c r="P19" i="1"/>
  <c r="P13" i="1"/>
  <c r="AI12" i="4"/>
  <c r="AL12" i="4" s="1"/>
  <c r="AE12" i="4"/>
  <c r="AH12" i="4" s="1"/>
  <c r="Q26" i="10"/>
  <c r="T26" i="10" s="1"/>
  <c r="L26" i="10"/>
  <c r="O26" i="10" s="1"/>
  <c r="AI20" i="4"/>
  <c r="AL20" i="4" s="1"/>
  <c r="AE20" i="4"/>
  <c r="AH20" i="4" s="1"/>
  <c r="AE18" i="4"/>
  <c r="AH18" i="4" s="1"/>
  <c r="AI18" i="4"/>
  <c r="AL18" i="4" s="1"/>
  <c r="AI23" i="11"/>
  <c r="AL23" i="11" s="1"/>
  <c r="AE23" i="11"/>
  <c r="AH23" i="11" s="1"/>
  <c r="R10" i="9"/>
  <c r="U10" i="9" s="1"/>
  <c r="M10" i="9"/>
  <c r="P10" i="9" s="1"/>
  <c r="Q25" i="10"/>
  <c r="T25" i="10" s="1"/>
  <c r="L25" i="10"/>
  <c r="O25" i="10" s="1"/>
  <c r="L7" i="10"/>
  <c r="O7" i="10" s="1"/>
  <c r="Q7" i="10"/>
  <c r="T7" i="10" s="1"/>
  <c r="Q21" i="10"/>
  <c r="T21" i="10" s="1"/>
  <c r="L21" i="10"/>
  <c r="O21" i="10" s="1"/>
  <c r="O13" i="8"/>
  <c r="R13" i="8" s="1"/>
  <c r="T13" i="8"/>
  <c r="W13" i="8" s="1"/>
  <c r="T16" i="8"/>
  <c r="W16" i="8" s="1"/>
  <c r="O16" i="8"/>
  <c r="R16" i="8" s="1"/>
  <c r="AE25" i="4"/>
  <c r="AH25" i="4" s="1"/>
  <c r="AI25" i="4"/>
  <c r="AL25" i="4" s="1"/>
  <c r="AE13" i="4"/>
  <c r="AH13" i="4" s="1"/>
  <c r="AI13" i="4"/>
  <c r="AL13" i="4" s="1"/>
  <c r="AI17" i="4"/>
  <c r="AL17" i="4" s="1"/>
  <c r="AE17" i="4"/>
  <c r="AH17" i="4" s="1"/>
  <c r="AI18" i="11"/>
  <c r="AL18" i="11" s="1"/>
  <c r="AE18" i="11"/>
  <c r="AH18" i="11" s="1"/>
  <c r="AI25" i="11"/>
  <c r="AL25" i="11" s="1"/>
  <c r="AE25" i="11"/>
  <c r="AH25" i="11" s="1"/>
  <c r="AI13" i="11"/>
  <c r="AL13" i="11" s="1"/>
  <c r="AE13" i="11"/>
  <c r="AH13" i="11" s="1"/>
  <c r="AE7" i="12"/>
  <c r="AH7" i="12" s="1"/>
  <c r="AI7" i="12"/>
  <c r="AL7" i="12" s="1"/>
  <c r="AI17" i="12"/>
  <c r="AL17" i="12" s="1"/>
  <c r="AE17" i="12"/>
  <c r="AH17" i="12" s="1"/>
  <c r="M11" i="9"/>
  <c r="P11" i="9" s="1"/>
  <c r="R11" i="9"/>
  <c r="U11" i="9" s="1"/>
  <c r="R9" i="9"/>
  <c r="U9" i="9" s="1"/>
  <c r="M9" i="9"/>
  <c r="P9" i="9" s="1"/>
  <c r="AE10" i="11"/>
  <c r="AH10" i="11" s="1"/>
  <c r="AI10" i="11"/>
  <c r="AL10" i="11" s="1"/>
  <c r="AE9" i="12"/>
  <c r="AH9" i="12" s="1"/>
  <c r="AI9" i="12"/>
  <c r="AL9" i="12" s="1"/>
  <c r="L13" i="10"/>
  <c r="O13" i="10" s="1"/>
  <c r="Q13" i="10"/>
  <c r="T13" i="10" s="1"/>
  <c r="AE15" i="4"/>
  <c r="AH15" i="4" s="1"/>
  <c r="AI15" i="4"/>
  <c r="AL15" i="4" s="1"/>
  <c r="AI11" i="11"/>
  <c r="AL11" i="11" s="1"/>
  <c r="AE11" i="11"/>
  <c r="AH11" i="11" s="1"/>
  <c r="AI11" i="12"/>
  <c r="AL11" i="12" s="1"/>
  <c r="AE11" i="12"/>
  <c r="AH11" i="12" s="1"/>
  <c r="Q17" i="10"/>
  <c r="T17" i="10" s="1"/>
  <c r="L17" i="10"/>
  <c r="O17" i="10" s="1"/>
  <c r="Q23" i="10"/>
  <c r="T23" i="10" s="1"/>
  <c r="L23" i="10"/>
  <c r="O23" i="10" s="1"/>
  <c r="L22" i="10"/>
  <c r="O22" i="10" s="1"/>
  <c r="Q22" i="10"/>
  <c r="T22" i="10" s="1"/>
  <c r="T11" i="8"/>
  <c r="W11" i="8" s="1"/>
  <c r="O11" i="8"/>
  <c r="R11" i="8" s="1"/>
  <c r="O14" i="8"/>
  <c r="R14" i="8" s="1"/>
  <c r="T14" i="8"/>
  <c r="W14" i="8" s="1"/>
  <c r="AI22" i="4"/>
  <c r="AL22" i="4" s="1"/>
  <c r="AE22" i="4"/>
  <c r="AH22" i="4" s="1"/>
  <c r="AI9" i="4"/>
  <c r="AL9" i="4" s="1"/>
  <c r="AE9" i="4"/>
  <c r="AH9" i="4" s="1"/>
  <c r="AE26" i="4"/>
  <c r="AH26" i="4" s="1"/>
  <c r="AI26" i="4"/>
  <c r="AL26" i="4" s="1"/>
  <c r="AI22" i="11"/>
  <c r="AL22" i="11" s="1"/>
  <c r="AE22" i="11"/>
  <c r="AH22" i="11" s="1"/>
  <c r="AI16" i="11"/>
  <c r="AL16" i="11" s="1"/>
  <c r="AE16" i="11"/>
  <c r="AH16" i="11" s="1"/>
  <c r="AE28" i="11"/>
  <c r="AH28" i="11" s="1"/>
  <c r="AI28" i="11"/>
  <c r="AL28" i="11" s="1"/>
  <c r="AI25" i="12"/>
  <c r="AL25" i="12" s="1"/>
  <c r="AE25" i="12"/>
  <c r="AH25" i="12" s="1"/>
  <c r="AE21" i="12"/>
  <c r="AH21" i="12" s="1"/>
  <c r="AI21" i="12"/>
  <c r="AL21" i="12" s="1"/>
  <c r="R15" i="9"/>
  <c r="U15" i="9" s="1"/>
  <c r="M15" i="9"/>
  <c r="P15" i="9" s="1"/>
  <c r="M8" i="9"/>
  <c r="P8" i="9" s="1"/>
  <c r="R8" i="9"/>
  <c r="U8" i="9" s="1"/>
</calcChain>
</file>

<file path=xl/sharedStrings.xml><?xml version="1.0" encoding="utf-8"?>
<sst xmlns="http://schemas.openxmlformats.org/spreadsheetml/2006/main" count="503" uniqueCount="160">
  <si>
    <t>Domestic Service</t>
  </si>
  <si>
    <t>Empolyees</t>
  </si>
  <si>
    <t>General Service</t>
  </si>
  <si>
    <t>Large Power</t>
  </si>
  <si>
    <t>Secondary Voltage Power</t>
  </si>
  <si>
    <t>Time of Use</t>
  </si>
  <si>
    <t>Street Lights</t>
  </si>
  <si>
    <t>Customer Rate Class</t>
  </si>
  <si>
    <t>Energy Sales 
(kWh)</t>
  </si>
  <si>
    <t>Total Energy Sales</t>
  </si>
  <si>
    <t>Loss Factor</t>
  </si>
  <si>
    <t>Energy Sales Weighted by Losses
(kWh)</t>
  </si>
  <si>
    <t>Energy Rate  After Losses</t>
  </si>
  <si>
    <t>Revenue Check</t>
  </si>
  <si>
    <t>Rate Design Revenue Requirement</t>
  </si>
  <si>
    <t>Customer Charge</t>
  </si>
  <si>
    <t>Energy Charge</t>
  </si>
  <si>
    <t>Fuel Charge</t>
  </si>
  <si>
    <t>CETR</t>
  </si>
  <si>
    <t>Lookup</t>
  </si>
  <si>
    <t>Class 1</t>
  </si>
  <si>
    <t>Class 2</t>
  </si>
  <si>
    <t>Class 3</t>
  </si>
  <si>
    <t>THE BARBADOS LIGHT &amp; POWER CO. LTD.</t>
  </si>
  <si>
    <t>__</t>
  </si>
  <si>
    <t>TARIFFS</t>
  </si>
  <si>
    <t>COMPONENTS</t>
  </si>
  <si>
    <t>PROPOSED</t>
  </si>
  <si>
    <t xml:space="preserve"> INTERIM</t>
  </si>
  <si>
    <t>RATES</t>
  </si>
  <si>
    <t>Parameters</t>
  </si>
  <si>
    <t>Monthly</t>
  </si>
  <si>
    <t>Customer Charge ($/month)</t>
  </si>
  <si>
    <t>0-150kWh</t>
  </si>
  <si>
    <t>151-500kWh</t>
  </si>
  <si>
    <t>Over 500 kWh</t>
  </si>
  <si>
    <t>__DOMESTIC  SERVICE</t>
  </si>
  <si>
    <t>DOMESTIC  SERVICE</t>
  </si>
  <si>
    <t>Demand Charge ($/kVA)</t>
  </si>
  <si>
    <t>Not applicable</t>
  </si>
  <si>
    <t>---------</t>
  </si>
  <si>
    <t>Domestic_Non-Renewables_0 to 150 kWh</t>
  </si>
  <si>
    <t>Domestic</t>
  </si>
  <si>
    <t>Non-Renewables</t>
  </si>
  <si>
    <t>0 to 150 kWh</t>
  </si>
  <si>
    <t>Base Energy Charge ($/kWh)</t>
  </si>
  <si>
    <t>0-150 kWh, per kWh</t>
  </si>
  <si>
    <t>Domestic_Non-Renewables_151 to 500 kWh</t>
  </si>
  <si>
    <t>151 to 500 kWh</t>
  </si>
  <si>
    <t>Next 350 kWh, per kWh</t>
  </si>
  <si>
    <t>Domestic_Non-Renewables_501 to 1,500 kWh</t>
  </si>
  <si>
    <t>501 to 1,500 kWh</t>
  </si>
  <si>
    <t>Next 1,000 kWh, per kWh</t>
  </si>
  <si>
    <t>Domestic_Non-Renewables_&gt; 1,500 kWh</t>
  </si>
  <si>
    <t>&gt; 1,500 kWh</t>
  </si>
  <si>
    <t>Over 1,500 kWh, per kWh.</t>
  </si>
  <si>
    <t>Employee</t>
  </si>
  <si>
    <t>__EMPLOYEE</t>
  </si>
  <si>
    <t>EMPLOYEE</t>
  </si>
  <si>
    <t>Employee_Non-Renewables_0 to 150 kWh</t>
  </si>
  <si>
    <t>Employee_Non-Renewables_151 to 500 kWh</t>
  </si>
  <si>
    <t>Employee_Non-Renewables_501 to 1,500 kWh</t>
  </si>
  <si>
    <t>Employee_Non-Renewables_&gt; 1,500 kWh</t>
  </si>
  <si>
    <t>Over 1,500 kWh, per kWh</t>
  </si>
  <si>
    <t>0-100kWh</t>
  </si>
  <si>
    <t>101-500kWh</t>
  </si>
  <si>
    <t>__GENERAL  SERVICE</t>
  </si>
  <si>
    <t>GENERAL  SERVICE</t>
  </si>
  <si>
    <t>General Service_Non-Renewables_0 to 100 kWh</t>
  </si>
  <si>
    <t>0 to 100 kWh</t>
  </si>
  <si>
    <t>0-100 kWh, per kWh</t>
  </si>
  <si>
    <t>General Service_Non-Renewables_101 to 500 kWh</t>
  </si>
  <si>
    <t>101 to 500 kWh</t>
  </si>
  <si>
    <t>Next 400 kWh, per kWh</t>
  </si>
  <si>
    <t>General Service_Non-Renewables_501 to 1,500 kWh</t>
  </si>
  <si>
    <t>General Service_Non-Renewables_&gt; 1,500 kWh</t>
  </si>
  <si>
    <t>Each service</t>
  </si>
  <si>
    <t>__SECONDARY VOLTAGE POWER</t>
  </si>
  <si>
    <t>SECONDARY VOLTAGE POWER</t>
  </si>
  <si>
    <t>per kVA</t>
  </si>
  <si>
    <t>Secondary Voltage_Non-Renewables_No Bands</t>
  </si>
  <si>
    <t>Secondary Voltage</t>
  </si>
  <si>
    <t>No Bands</t>
  </si>
  <si>
    <t>All kWh, per kWh.</t>
  </si>
  <si>
    <t>__LARGE POWER</t>
  </si>
  <si>
    <t>LARGE POWER</t>
  </si>
  <si>
    <t>Large Power_Non-Renewables_No Bands</t>
  </si>
  <si>
    <t>Time of Use Pilot Tariff</t>
  </si>
  <si>
    <t>On-Peak, per kWh.</t>
  </si>
  <si>
    <t>Off-Peak, per kWh.</t>
  </si>
  <si>
    <t>Streetlights</t>
  </si>
  <si>
    <t>Each 50 Watt HPS light</t>
  </si>
  <si>
    <t>Each 70 Watt HPS light</t>
  </si>
  <si>
    <t>Each 100 Watt HPS light</t>
  </si>
  <si>
    <t>CETR ($/kWh)</t>
  </si>
  <si>
    <t>Total Bill</t>
  </si>
  <si>
    <t>Usage (kWh)</t>
  </si>
  <si>
    <t>Cumulative Proportion of Customers</t>
  </si>
  <si>
    <t>Base Rate</t>
  </si>
  <si>
    <t>Sub Total</t>
  </si>
  <si>
    <t>VAT</t>
  </si>
  <si>
    <t xml:space="preserve"> Proposed 
$ Change</t>
  </si>
  <si>
    <t>Proposed 
% Change</t>
  </si>
  <si>
    <t>Customers' Bill at Current Interim Rates</t>
  </si>
  <si>
    <t>Current &amp; Proposed Rates</t>
  </si>
  <si>
    <t>Tariff Blocks</t>
  </si>
  <si>
    <t>Energy Charge ($/kWh)</t>
  </si>
  <si>
    <t>VAT Charge</t>
  </si>
  <si>
    <t>Fuel Charge ($/kWh)</t>
  </si>
  <si>
    <t xml:space="preserve">From </t>
  </si>
  <si>
    <t>To</t>
  </si>
  <si>
    <t>Next</t>
  </si>
  <si>
    <t>Current Rates</t>
  </si>
  <si>
    <t>Customers' Bill at Proposed CETR Rate</t>
  </si>
  <si>
    <t>Demand Charge
($/kVA)</t>
  </si>
  <si>
    <t>Customer Charge:</t>
  </si>
  <si>
    <t>Monthly Charge</t>
  </si>
  <si>
    <t>ON-PEAK</t>
  </si>
  <si>
    <t>OFF-PEAK</t>
  </si>
  <si>
    <t>All Demand</t>
  </si>
  <si>
    <t>Fuel Charge:</t>
  </si>
  <si>
    <t>Base Energy Charge: ($/kWh)</t>
  </si>
  <si>
    <t>Demand Charge:($/kVA)</t>
  </si>
  <si>
    <t>kWh/kVA Band</t>
  </si>
  <si>
    <t>Under 25 kWh/KVA</t>
  </si>
  <si>
    <t>25 - 50 kWh/KVA</t>
  </si>
  <si>
    <t>50 - 100 kWh/KVA</t>
  </si>
  <si>
    <t>100 - 200 kWh/KVA</t>
  </si>
  <si>
    <t>200 - 300 kWh/KVA</t>
  </si>
  <si>
    <t>300- 400 kWh/KVA</t>
  </si>
  <si>
    <t>400- 500 kWh/KVA</t>
  </si>
  <si>
    <t>500- 600 kWh/KVA</t>
  </si>
  <si>
    <t>600- 700 kWh/KVA</t>
  </si>
  <si>
    <t>700- 800 kWh/KVA</t>
  </si>
  <si>
    <t>800- 900 kWh/KVA</t>
  </si>
  <si>
    <t>Over 900 kWh/KVA</t>
  </si>
  <si>
    <t>Number of Customers</t>
  </si>
  <si>
    <t>Share of Customers</t>
  </si>
  <si>
    <t>Average Monthly Demand (kVA)</t>
  </si>
  <si>
    <t>Average Monthly Usage (kWh)</t>
  </si>
  <si>
    <t>Current Bill</t>
  </si>
  <si>
    <t>$ Change Impact</t>
  </si>
  <si>
    <t>% Change Impact</t>
  </si>
  <si>
    <t xml:space="preserve">kWh/kVA </t>
  </si>
  <si>
    <t>Average kWh Peak</t>
  </si>
  <si>
    <t>Average kWh Off Peak</t>
  </si>
  <si>
    <t>LED 21 Watts/bulb</t>
  </si>
  <si>
    <t>LED 49 Watts/bulb</t>
  </si>
  <si>
    <t>Rounding Error</t>
  </si>
  <si>
    <t>CETR Rate per Revenue Requirement Year 
($/kWh)</t>
  </si>
  <si>
    <t>Current Charges</t>
  </si>
  <si>
    <t>CETR Rate</t>
  </si>
  <si>
    <t>CETR Bill Impacts</t>
  </si>
  <si>
    <t>Current</t>
  </si>
  <si>
    <t>Barbados Light &amp; Power</t>
  </si>
  <si>
    <t>Clean Energy Transistion Plan Project 1</t>
  </si>
  <si>
    <t>Total  Investments</t>
  </si>
  <si>
    <t>Rate Design</t>
  </si>
  <si>
    <t>CETR Rate  Before Losses</t>
  </si>
  <si>
    <t>CETR Rate  After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</si>
</sst>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0_);_(&quot;$&quot;* \(#,##0.0000\);_(&quot;$&quot;* &quot;-&quot;??_);_(@_)"/>
    <numFmt numFmtId="165" formatCode="0.0%"/>
    <numFmt numFmtId="166" formatCode="_(&quot;$&quot;* #,##0.00000_);_(&quot;$&quot;* \(#,##0.00000\);_(&quot;$&quot;* &quot;-&quot;??_);_(@_)"/>
    <numFmt numFmtId="167" formatCode="_(&quot;$&quot;* #,##0.0_);_(&quot;$&quot;* \(#,##0.0\);_(&quot;$&quot;* &quot;-&quot;??_);_(@_)"/>
    <numFmt numFmtId="168" formatCode="_(&quot;$&quot;* #,##0_);_(&quot;$&quot;* \(#,##0\);_(&quot;$&quot;* &quot;-&quot;??_);_(@_)"/>
    <numFmt numFmtId="169" formatCode="&quot;$&quot;#,##0.000"/>
    <numFmt numFmtId="170" formatCode="[$-409]mmmm\-yy;@"/>
    <numFmt numFmtId="171" formatCode="&quot;$&quot;#,##0.00"/>
    <numFmt numFmtId="172" formatCode="&quot;$&quot;#,##0"/>
    <numFmt numFmtId="173" formatCode="&quot;$&quot;#,##0.0000"/>
    <numFmt numFmtId="174" formatCode="0.0000"/>
    <numFmt numFmtId="175" formatCode="_(* #,##0_);_(* \(#,##0\);_(* &quot;-&quot;??_);_(@_)"/>
    <numFmt numFmtId="176" formatCode="_(&quot;$&quot;* #,##0.00000_);_(&quot;$&quot;* \(#,##0.00000\);_(&quot;$&quot;* &quot;-&quot;?????_);_(@_)"/>
    <numFmt numFmtId="177" formatCode="_(&quot;$&quot;* #,##0.000_);_(&quot;$&quot;* \(#,##0.00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66CC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FFFFFF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87">
    <xf numFmtId="0" fontId="0" fillId="0" borderId="0" xfId="0"/>
    <xf numFmtId="3" fontId="0" fillId="0" borderId="0" xfId="0" applyNumberFormat="1"/>
    <xf numFmtId="0" fontId="2" fillId="0" borderId="0" xfId="0" applyFont="1"/>
    <xf numFmtId="44" fontId="0" fillId="0" borderId="0" xfId="0" applyNumberFormat="1"/>
    <xf numFmtId="3" fontId="2" fillId="0" borderId="2" xfId="0" applyNumberFormat="1" applyFont="1" applyBorder="1"/>
    <xf numFmtId="164" fontId="2" fillId="0" borderId="0" xfId="0" applyNumberFormat="1" applyFont="1"/>
    <xf numFmtId="165" fontId="0" fillId="0" borderId="0" xfId="3" applyNumberFormat="1" applyFont="1"/>
    <xf numFmtId="164" fontId="0" fillId="0" borderId="0" xfId="2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/>
    <xf numFmtId="164" fontId="0" fillId="0" borderId="0" xfId="2" applyNumberFormat="1" applyFont="1" applyBorder="1"/>
    <xf numFmtId="164" fontId="0" fillId="0" borderId="0" xfId="0" applyNumberFormat="1"/>
    <xf numFmtId="168" fontId="2" fillId="2" borderId="0" xfId="2" applyNumberFormat="1" applyFont="1" applyFill="1"/>
    <xf numFmtId="0" fontId="3" fillId="3" borderId="0" xfId="0" applyFont="1" applyFill="1"/>
    <xf numFmtId="0" fontId="4" fillId="3" borderId="0" xfId="0" applyFont="1" applyFill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9" fontId="4" fillId="0" borderId="0" xfId="0" applyNumberFormat="1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left"/>
    </xf>
    <xf numFmtId="169" fontId="0" fillId="0" borderId="6" xfId="0" applyNumberForma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70" fontId="5" fillId="0" borderId="9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169" fontId="5" fillId="0" borderId="10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9" fontId="4" fillId="0" borderId="10" xfId="0" applyNumberFormat="1" applyFont="1" applyBorder="1" applyAlignment="1">
      <alignment horizontal="center"/>
    </xf>
    <xf numFmtId="0" fontId="7" fillId="0" borderId="8" xfId="0" applyFont="1" applyBorder="1"/>
    <xf numFmtId="171" fontId="4" fillId="0" borderId="10" xfId="0" applyNumberFormat="1" applyFont="1" applyBorder="1" applyAlignment="1">
      <alignment horizontal="center"/>
    </xf>
    <xf numFmtId="0" fontId="4" fillId="0" borderId="9" xfId="0" applyFont="1" applyBorder="1"/>
    <xf numFmtId="172" fontId="4" fillId="0" borderId="10" xfId="0" quotePrefix="1" applyNumberFormat="1" applyFont="1" applyBorder="1" applyAlignment="1">
      <alignment horizontal="center"/>
    </xf>
    <xf numFmtId="169" fontId="8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wrapText="1"/>
    </xf>
    <xf numFmtId="0" fontId="7" fillId="0" borderId="12" xfId="0" applyFont="1" applyBorder="1"/>
    <xf numFmtId="172" fontId="4" fillId="0" borderId="10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172" fontId="4" fillId="0" borderId="8" xfId="0" quotePrefix="1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4" fontId="0" fillId="0" borderId="0" xfId="0" applyNumberFormat="1" applyAlignment="1">
      <alignment horizontal="right"/>
    </xf>
    <xf numFmtId="174" fontId="0" fillId="0" borderId="0" xfId="0" applyNumberForma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17" xfId="0" applyFont="1" applyBorder="1"/>
    <xf numFmtId="0" fontId="5" fillId="0" borderId="16" xfId="0" applyFont="1" applyBorder="1"/>
    <xf numFmtId="169" fontId="4" fillId="0" borderId="19" xfId="0" applyNumberFormat="1" applyFont="1" applyBorder="1" applyAlignment="1">
      <alignment horizontal="center"/>
    </xf>
    <xf numFmtId="173" fontId="4" fillId="0" borderId="10" xfId="0" applyNumberFormat="1" applyFont="1" applyBorder="1" applyAlignment="1">
      <alignment horizontal="center"/>
    </xf>
    <xf numFmtId="169" fontId="4" fillId="0" borderId="8" xfId="0" applyNumberFormat="1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172" fontId="7" fillId="0" borderId="14" xfId="0" quotePrefix="1" applyNumberFormat="1" applyFont="1" applyBorder="1" applyAlignment="1">
      <alignment horizontal="center"/>
    </xf>
    <xf numFmtId="169" fontId="9" fillId="0" borderId="14" xfId="0" applyNumberFormat="1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/>
    <xf numFmtId="0" fontId="0" fillId="4" borderId="0" xfId="0" applyFill="1"/>
    <xf numFmtId="44" fontId="0" fillId="4" borderId="0" xfId="0" applyNumberFormat="1" applyFill="1"/>
    <xf numFmtId="0" fontId="0" fillId="5" borderId="0" xfId="0" applyFill="1"/>
    <xf numFmtId="0" fontId="2" fillId="4" borderId="0" xfId="0" applyFont="1" applyFill="1"/>
    <xf numFmtId="0" fontId="0" fillId="6" borderId="8" xfId="0" applyFill="1" applyBorder="1"/>
    <xf numFmtId="0" fontId="0" fillId="6" borderId="0" xfId="0" applyFill="1"/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9" fontId="0" fillId="6" borderId="0" xfId="3" applyFont="1" applyFill="1" applyBorder="1" applyAlignment="1">
      <alignment horizontal="center"/>
    </xf>
    <xf numFmtId="44" fontId="0" fillId="4" borderId="0" xfId="0" applyNumberFormat="1" applyFill="1" applyAlignment="1">
      <alignment horizontal="center"/>
    </xf>
    <xf numFmtId="0" fontId="2" fillId="6" borderId="8" xfId="0" applyFont="1" applyFill="1" applyBorder="1" applyAlignment="1">
      <alignment horizontal="left" wrapText="1"/>
    </xf>
    <xf numFmtId="175" fontId="10" fillId="4" borderId="8" xfId="1" applyNumberFormat="1" applyFont="1" applyFill="1" applyBorder="1" applyAlignment="1">
      <alignment horizontal="left"/>
    </xf>
    <xf numFmtId="9" fontId="10" fillId="4" borderId="0" xfId="3" applyFont="1" applyFill="1" applyBorder="1" applyAlignment="1">
      <alignment horizontal="center"/>
    </xf>
    <xf numFmtId="44" fontId="0" fillId="4" borderId="0" xfId="2" applyFont="1" applyFill="1" applyBorder="1"/>
    <xf numFmtId="44" fontId="2" fillId="4" borderId="0" xfId="0" applyNumberFormat="1" applyFont="1" applyFill="1"/>
    <xf numFmtId="167" fontId="2" fillId="4" borderId="0" xfId="0" applyNumberFormat="1" applyFont="1" applyFill="1"/>
    <xf numFmtId="9" fontId="2" fillId="4" borderId="0" xfId="0" applyNumberFormat="1" applyFont="1" applyFill="1"/>
    <xf numFmtId="37" fontId="11" fillId="4" borderId="8" xfId="0" applyNumberFormat="1" applyFont="1" applyFill="1" applyBorder="1" applyAlignment="1">
      <alignment horizontal="center"/>
    </xf>
    <xf numFmtId="175" fontId="10" fillId="7" borderId="8" xfId="1" applyNumberFormat="1" applyFont="1" applyFill="1" applyBorder="1" applyAlignment="1">
      <alignment horizontal="left"/>
    </xf>
    <xf numFmtId="9" fontId="10" fillId="7" borderId="0" xfId="3" applyFont="1" applyFill="1" applyBorder="1" applyAlignment="1">
      <alignment horizontal="center"/>
    </xf>
    <xf numFmtId="44" fontId="0" fillId="7" borderId="0" xfId="2" applyFont="1" applyFill="1" applyBorder="1"/>
    <xf numFmtId="44" fontId="2" fillId="7" borderId="0" xfId="0" applyNumberFormat="1" applyFont="1" applyFill="1"/>
    <xf numFmtId="44" fontId="0" fillId="7" borderId="0" xfId="0" applyNumberFormat="1" applyFill="1"/>
    <xf numFmtId="167" fontId="2" fillId="7" borderId="0" xfId="0" applyNumberFormat="1" applyFont="1" applyFill="1"/>
    <xf numFmtId="37" fontId="11" fillId="7" borderId="8" xfId="0" applyNumberFormat="1" applyFont="1" applyFill="1" applyBorder="1" applyAlignment="1">
      <alignment horizontal="center"/>
    </xf>
    <xf numFmtId="175" fontId="10" fillId="7" borderId="25" xfId="1" applyNumberFormat="1" applyFont="1" applyFill="1" applyBorder="1" applyAlignment="1">
      <alignment horizontal="left"/>
    </xf>
    <xf numFmtId="9" fontId="10" fillId="7" borderId="26" xfId="3" applyFont="1" applyFill="1" applyBorder="1" applyAlignment="1">
      <alignment horizontal="center"/>
    </xf>
    <xf numFmtId="44" fontId="0" fillId="7" borderId="26" xfId="2" applyFont="1" applyFill="1" applyBorder="1"/>
    <xf numFmtId="44" fontId="2" fillId="7" borderId="26" xfId="0" applyNumberFormat="1" applyFont="1" applyFill="1" applyBorder="1"/>
    <xf numFmtId="44" fontId="0" fillId="7" borderId="26" xfId="0" applyNumberFormat="1" applyFill="1" applyBorder="1"/>
    <xf numFmtId="167" fontId="2" fillId="7" borderId="26" xfId="0" applyNumberFormat="1" applyFont="1" applyFill="1" applyBorder="1"/>
    <xf numFmtId="175" fontId="10" fillId="4" borderId="0" xfId="1" applyNumberFormat="1" applyFont="1" applyFill="1"/>
    <xf numFmtId="44" fontId="0" fillId="4" borderId="0" xfId="2" applyFont="1" applyFill="1"/>
    <xf numFmtId="0" fontId="0" fillId="8" borderId="0" xfId="0" applyFill="1"/>
    <xf numFmtId="0" fontId="2" fillId="5" borderId="28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5" borderId="28" xfId="0" applyFont="1" applyFill="1" applyBorder="1"/>
    <xf numFmtId="165" fontId="0" fillId="4" borderId="28" xfId="3" applyNumberFormat="1" applyFont="1" applyFill="1" applyBorder="1" applyAlignment="1">
      <alignment horizontal="center"/>
    </xf>
    <xf numFmtId="176" fontId="0" fillId="4" borderId="28" xfId="0" applyNumberFormat="1" applyFill="1" applyBorder="1" applyAlignment="1">
      <alignment horizontal="center"/>
    </xf>
    <xf numFmtId="176" fontId="0" fillId="4" borderId="0" xfId="0" applyNumberFormat="1" applyFill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3" fontId="0" fillId="4" borderId="28" xfId="0" applyNumberFormat="1" applyFill="1" applyBorder="1"/>
    <xf numFmtId="44" fontId="0" fillId="4" borderId="28" xfId="0" applyNumberFormat="1" applyFill="1" applyBorder="1" applyAlignment="1">
      <alignment horizontal="center"/>
    </xf>
    <xf numFmtId="176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9" fontId="0" fillId="4" borderId="0" xfId="3" applyFont="1" applyFill="1" applyBorder="1" applyAlignment="1">
      <alignment horizontal="center"/>
    </xf>
    <xf numFmtId="167" fontId="2" fillId="4" borderId="26" xfId="0" applyNumberFormat="1" applyFont="1" applyFill="1" applyBorder="1"/>
    <xf numFmtId="37" fontId="11" fillId="7" borderId="12" xfId="0" applyNumberFormat="1" applyFont="1" applyFill="1" applyBorder="1" applyAlignment="1">
      <alignment horizontal="center"/>
    </xf>
    <xf numFmtId="166" fontId="0" fillId="4" borderId="0" xfId="0" applyNumberFormat="1" applyFill="1" applyAlignment="1">
      <alignment horizontal="center"/>
    </xf>
    <xf numFmtId="165" fontId="0" fillId="4" borderId="23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wrapText="1"/>
    </xf>
    <xf numFmtId="44" fontId="0" fillId="4" borderId="28" xfId="2" applyFont="1" applyFill="1" applyBorder="1"/>
    <xf numFmtId="0" fontId="2" fillId="5" borderId="28" xfId="4" applyFont="1" applyFill="1" applyBorder="1"/>
    <xf numFmtId="3" fontId="2" fillId="5" borderId="28" xfId="0" applyNumberFormat="1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 indent="2"/>
    </xf>
    <xf numFmtId="0" fontId="2" fillId="5" borderId="28" xfId="4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/>
    </xf>
    <xf numFmtId="0" fontId="2" fillId="5" borderId="13" xfId="4" applyFont="1" applyFill="1" applyBorder="1"/>
    <xf numFmtId="0" fontId="2" fillId="4" borderId="28" xfId="0" applyFont="1" applyFill="1" applyBorder="1"/>
    <xf numFmtId="44" fontId="0" fillId="4" borderId="28" xfId="2" applyFont="1" applyFill="1" applyBorder="1" applyAlignment="1">
      <alignment horizontal="center"/>
    </xf>
    <xf numFmtId="0" fontId="1" fillId="4" borderId="28" xfId="4" applyFill="1" applyBorder="1" applyAlignment="1">
      <alignment horizontal="center"/>
    </xf>
    <xf numFmtId="166" fontId="0" fillId="4" borderId="28" xfId="2" applyNumberFormat="1" applyFont="1" applyFill="1" applyBorder="1" applyAlignment="1">
      <alignment horizontal="center"/>
    </xf>
    <xf numFmtId="165" fontId="0" fillId="5" borderId="28" xfId="3" applyNumberFormat="1" applyFont="1" applyFill="1" applyBorder="1" applyAlignment="1">
      <alignment horizontal="center"/>
    </xf>
    <xf numFmtId="176" fontId="0" fillId="5" borderId="28" xfId="0" applyNumberFormat="1" applyFill="1" applyBorder="1" applyAlignment="1">
      <alignment horizontal="center"/>
    </xf>
    <xf numFmtId="0" fontId="2" fillId="5" borderId="21" xfId="0" applyFont="1" applyFill="1" applyBorder="1"/>
    <xf numFmtId="0" fontId="0" fillId="5" borderId="23" xfId="0" applyFill="1" applyBorder="1"/>
    <xf numFmtId="0" fontId="0" fillId="4" borderId="8" xfId="0" applyFill="1" applyBorder="1"/>
    <xf numFmtId="0" fontId="0" fillId="7" borderId="12" xfId="0" applyFill="1" applyBorder="1"/>
    <xf numFmtId="0" fontId="0" fillId="7" borderId="1" xfId="0" applyFill="1" applyBorder="1"/>
    <xf numFmtId="44" fontId="0" fillId="7" borderId="1" xfId="0" applyNumberFormat="1" applyFill="1" applyBorder="1"/>
    <xf numFmtId="0" fontId="0" fillId="4" borderId="1" xfId="0" applyFill="1" applyBorder="1"/>
    <xf numFmtId="0" fontId="0" fillId="4" borderId="7" xfId="0" applyFill="1" applyBorder="1"/>
    <xf numFmtId="165" fontId="0" fillId="4" borderId="0" xfId="3" applyNumberFormat="1" applyFont="1" applyFill="1" applyBorder="1" applyAlignment="1">
      <alignment horizontal="center"/>
    </xf>
    <xf numFmtId="1" fontId="0" fillId="4" borderId="0" xfId="3" applyNumberFormat="1" applyFont="1" applyFill="1" applyBorder="1" applyAlignment="1">
      <alignment horizontal="center"/>
    </xf>
    <xf numFmtId="3" fontId="0" fillId="4" borderId="0" xfId="3" applyNumberFormat="1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 wrapText="1" readingOrder="1"/>
    </xf>
    <xf numFmtId="3" fontId="0" fillId="4" borderId="0" xfId="0" applyNumberFormat="1" applyFill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5" fontId="0" fillId="4" borderId="1" xfId="3" applyNumberFormat="1" applyFont="1" applyFill="1" applyBorder="1" applyAlignment="1">
      <alignment horizontal="center"/>
    </xf>
    <xf numFmtId="1" fontId="0" fillId="4" borderId="1" xfId="3" applyNumberFormat="1" applyFont="1" applyFill="1" applyBorder="1" applyAlignment="1">
      <alignment horizontal="center"/>
    </xf>
    <xf numFmtId="3" fontId="0" fillId="4" borderId="1" xfId="3" applyNumberFormat="1" applyFont="1" applyFill="1" applyBorder="1" applyAlignment="1">
      <alignment horizontal="center"/>
    </xf>
    <xf numFmtId="168" fontId="0" fillId="4" borderId="1" xfId="0" applyNumberFormat="1" applyFill="1" applyBorder="1" applyAlignment="1">
      <alignment horizontal="center"/>
    </xf>
    <xf numFmtId="0" fontId="0" fillId="4" borderId="12" xfId="0" applyFill="1" applyBorder="1"/>
    <xf numFmtId="0" fontId="14" fillId="4" borderId="0" xfId="0" applyFont="1" applyFill="1" applyAlignment="1">
      <alignment horizontal="center" wrapText="1" readingOrder="1"/>
    </xf>
    <xf numFmtId="3" fontId="0" fillId="4" borderId="8" xfId="0" applyNumberFormat="1" applyFill="1" applyBorder="1" applyAlignment="1">
      <alignment horizontal="center"/>
    </xf>
    <xf numFmtId="3" fontId="0" fillId="4" borderId="12" xfId="0" applyNumberFormat="1" applyFill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13" fillId="11" borderId="21" xfId="0" applyFont="1" applyFill="1" applyBorder="1" applyAlignment="1">
      <alignment horizontal="center" wrapText="1" readingOrder="1"/>
    </xf>
    <xf numFmtId="0" fontId="13" fillId="11" borderId="22" xfId="0" applyFont="1" applyFill="1" applyBorder="1" applyAlignment="1">
      <alignment horizontal="center" wrapText="1" readingOrder="1"/>
    </xf>
    <xf numFmtId="0" fontId="2" fillId="4" borderId="0" xfId="0" applyFont="1" applyFill="1" applyAlignment="1">
      <alignment horizontal="left"/>
    </xf>
    <xf numFmtId="168" fontId="2" fillId="0" borderId="0" xfId="2" applyNumberFormat="1" applyFont="1" applyFill="1"/>
    <xf numFmtId="0" fontId="2" fillId="0" borderId="0" xfId="0" applyFont="1" applyAlignment="1">
      <alignment wrapText="1"/>
    </xf>
    <xf numFmtId="3" fontId="0" fillId="0" borderId="0" xfId="0" applyNumberFormat="1" applyAlignment="1">
      <alignment horizontal="center"/>
    </xf>
    <xf numFmtId="3" fontId="2" fillId="0" borderId="2" xfId="0" applyNumberFormat="1" applyFont="1" applyBorder="1" applyAlignment="1">
      <alignment horizontal="center"/>
    </xf>
    <xf numFmtId="44" fontId="0" fillId="0" borderId="0" xfId="0" applyNumberFormat="1" applyAlignment="1">
      <alignment horizontal="center"/>
    </xf>
    <xf numFmtId="164" fontId="0" fillId="0" borderId="0" xfId="2" applyNumberFormat="1" applyFont="1" applyAlignment="1"/>
    <xf numFmtId="164" fontId="0" fillId="0" borderId="1" xfId="2" applyNumberFormat="1" applyFont="1" applyBorder="1" applyAlignment="1"/>
    <xf numFmtId="0" fontId="2" fillId="5" borderId="13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168" fontId="0" fillId="0" borderId="0" xfId="0" applyNumberFormat="1"/>
    <xf numFmtId="164" fontId="0" fillId="0" borderId="1" xfId="0" applyNumberFormat="1" applyBorder="1"/>
    <xf numFmtId="0" fontId="15" fillId="0" borderId="0" xfId="0" applyFont="1" applyAlignment="1">
      <alignment wrapText="1"/>
    </xf>
    <xf numFmtId="44" fontId="0" fillId="4" borderId="26" xfId="0" applyNumberFormat="1" applyFill="1" applyBorder="1"/>
    <xf numFmtId="9" fontId="0" fillId="4" borderId="0" xfId="3" applyFont="1" applyFill="1" applyAlignment="1">
      <alignment horizontal="center"/>
    </xf>
    <xf numFmtId="9" fontId="0" fillId="7" borderId="0" xfId="3" applyFont="1" applyFill="1" applyAlignment="1">
      <alignment horizontal="center"/>
    </xf>
    <xf numFmtId="9" fontId="0" fillId="7" borderId="26" xfId="3" applyFont="1" applyFill="1" applyBorder="1" applyAlignment="1">
      <alignment horizontal="center"/>
    </xf>
    <xf numFmtId="37" fontId="12" fillId="7" borderId="25" xfId="0" applyNumberFormat="1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 wrapText="1"/>
    </xf>
    <xf numFmtId="0" fontId="2" fillId="6" borderId="13" xfId="0" applyFont="1" applyFill="1" applyBorder="1" applyAlignment="1">
      <alignment horizontal="center" wrapText="1"/>
    </xf>
    <xf numFmtId="0" fontId="0" fillId="6" borderId="9" xfId="0" applyFill="1" applyBorder="1"/>
    <xf numFmtId="0" fontId="0" fillId="6" borderId="18" xfId="0" applyFill="1" applyBorder="1"/>
    <xf numFmtId="9" fontId="2" fillId="4" borderId="24" xfId="3" applyFont="1" applyFill="1" applyBorder="1" applyAlignment="1">
      <alignment horizontal="center"/>
    </xf>
    <xf numFmtId="9" fontId="2" fillId="7" borderId="24" xfId="3" applyFont="1" applyFill="1" applyBorder="1" applyAlignment="1">
      <alignment horizontal="center"/>
    </xf>
    <xf numFmtId="9" fontId="2" fillId="7" borderId="27" xfId="3" applyFont="1" applyFill="1" applyBorder="1" applyAlignment="1">
      <alignment horizontal="center"/>
    </xf>
    <xf numFmtId="44" fontId="2" fillId="7" borderId="1" xfId="0" applyNumberFormat="1" applyFont="1" applyFill="1" applyBorder="1"/>
    <xf numFmtId="9" fontId="0" fillId="7" borderId="1" xfId="3" applyFont="1" applyFill="1" applyBorder="1" applyAlignment="1">
      <alignment horizontal="center"/>
    </xf>
    <xf numFmtId="9" fontId="2" fillId="7" borderId="29" xfId="3" applyFont="1" applyFill="1" applyBorder="1" applyAlignment="1">
      <alignment horizontal="center"/>
    </xf>
    <xf numFmtId="9" fontId="2" fillId="4" borderId="26" xfId="0" applyNumberFormat="1" applyFont="1" applyFill="1" applyBorder="1"/>
    <xf numFmtId="37" fontId="11" fillId="7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left" wrapText="1"/>
    </xf>
    <xf numFmtId="0" fontId="13" fillId="9" borderId="0" xfId="0" applyFont="1" applyFill="1" applyAlignment="1">
      <alignment horizontal="center" wrapText="1" readingOrder="1"/>
    </xf>
    <xf numFmtId="168" fontId="0" fillId="4" borderId="0" xfId="0" applyNumberFormat="1" applyFill="1" applyAlignment="1">
      <alignment horizontal="center"/>
    </xf>
    <xf numFmtId="168" fontId="2" fillId="4" borderId="0" xfId="0" applyNumberFormat="1" applyFont="1" applyFill="1" applyAlignment="1">
      <alignment horizontal="center"/>
    </xf>
    <xf numFmtId="9" fontId="2" fillId="4" borderId="24" xfId="0" applyNumberFormat="1" applyFont="1" applyFill="1" applyBorder="1" applyAlignment="1">
      <alignment horizontal="center"/>
    </xf>
    <xf numFmtId="168" fontId="2" fillId="4" borderId="1" xfId="0" applyNumberFormat="1" applyFont="1" applyFill="1" applyBorder="1" applyAlignment="1">
      <alignment horizontal="center"/>
    </xf>
    <xf numFmtId="9" fontId="0" fillId="4" borderId="1" xfId="3" applyFont="1" applyFill="1" applyBorder="1" applyAlignment="1">
      <alignment horizontal="center"/>
    </xf>
    <xf numFmtId="9" fontId="2" fillId="4" borderId="29" xfId="0" applyNumberFormat="1" applyFont="1" applyFill="1" applyBorder="1" applyAlignment="1">
      <alignment horizontal="center"/>
    </xf>
    <xf numFmtId="0" fontId="13" fillId="10" borderId="0" xfId="0" applyFont="1" applyFill="1" applyAlignment="1">
      <alignment horizontal="center" wrapText="1" readingOrder="1"/>
    </xf>
    <xf numFmtId="0" fontId="13" fillId="10" borderId="0" xfId="0" applyFont="1" applyFill="1" applyAlignment="1">
      <alignment wrapText="1" readingOrder="1"/>
    </xf>
    <xf numFmtId="0" fontId="13" fillId="10" borderId="6" xfId="0" applyFont="1" applyFill="1" applyBorder="1" applyAlignment="1">
      <alignment wrapText="1" readingOrder="1"/>
    </xf>
    <xf numFmtId="0" fontId="13" fillId="10" borderId="34" xfId="0" applyFont="1" applyFill="1" applyBorder="1" applyAlignment="1">
      <alignment horizontal="center" wrapText="1" readingOrder="1"/>
    </xf>
    <xf numFmtId="172" fontId="0" fillId="4" borderId="0" xfId="0" applyNumberFormat="1" applyFill="1" applyAlignment="1">
      <alignment horizontal="center"/>
    </xf>
    <xf numFmtId="9" fontId="0" fillId="4" borderId="34" xfId="3" applyFont="1" applyFill="1" applyBorder="1" applyAlignment="1">
      <alignment horizontal="center"/>
    </xf>
    <xf numFmtId="0" fontId="0" fillId="4" borderId="15" xfId="0" applyFill="1" applyBorder="1"/>
    <xf numFmtId="1" fontId="0" fillId="4" borderId="35" xfId="3" applyNumberFormat="1" applyFont="1" applyFill="1" applyBorder="1" applyAlignment="1">
      <alignment horizontal="center"/>
    </xf>
    <xf numFmtId="165" fontId="0" fillId="4" borderId="35" xfId="3" applyNumberFormat="1" applyFont="1" applyFill="1" applyBorder="1" applyAlignment="1">
      <alignment horizontal="center"/>
    </xf>
    <xf numFmtId="3" fontId="0" fillId="4" borderId="35" xfId="3" applyNumberFormat="1" applyFont="1" applyFill="1" applyBorder="1" applyAlignment="1">
      <alignment horizontal="center"/>
    </xf>
    <xf numFmtId="172" fontId="0" fillId="4" borderId="35" xfId="0" applyNumberFormat="1" applyFill="1" applyBorder="1" applyAlignment="1">
      <alignment horizontal="center"/>
    </xf>
    <xf numFmtId="9" fontId="0" fillId="4" borderId="35" xfId="3" applyFont="1" applyFill="1" applyBorder="1" applyAlignment="1">
      <alignment horizontal="center"/>
    </xf>
    <xf numFmtId="9" fontId="0" fillId="4" borderId="36" xfId="3" applyFont="1" applyFill="1" applyBorder="1" applyAlignment="1">
      <alignment horizontal="center"/>
    </xf>
    <xf numFmtId="165" fontId="1" fillId="4" borderId="18" xfId="4" applyNumberForma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9" fontId="2" fillId="4" borderId="29" xfId="3" applyFont="1" applyFill="1" applyBorder="1" applyAlignment="1">
      <alignment horizontal="center"/>
    </xf>
    <xf numFmtId="44" fontId="2" fillId="4" borderId="0" xfId="0" applyNumberFormat="1" applyFont="1" applyFill="1" applyAlignment="1">
      <alignment horizontal="center"/>
    </xf>
    <xf numFmtId="44" fontId="2" fillId="4" borderId="1" xfId="0" applyNumberFormat="1" applyFont="1" applyFill="1" applyBorder="1" applyAlignment="1">
      <alignment horizontal="center"/>
    </xf>
    <xf numFmtId="0" fontId="0" fillId="0" borderId="24" xfId="0" applyBorder="1"/>
    <xf numFmtId="0" fontId="0" fillId="0" borderId="38" xfId="0" applyBorder="1"/>
    <xf numFmtId="0" fontId="5" fillId="0" borderId="38" xfId="0" applyFont="1" applyBorder="1" applyAlignment="1">
      <alignment horizontal="center"/>
    </xf>
    <xf numFmtId="169" fontId="5" fillId="0" borderId="38" xfId="0" applyNumberFormat="1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37" xfId="0" applyNumberFormat="1" applyFont="1" applyBorder="1" applyAlignment="1">
      <alignment horizontal="center"/>
    </xf>
    <xf numFmtId="169" fontId="7" fillId="0" borderId="14" xfId="0" applyNumberFormat="1" applyFont="1" applyBorder="1" applyAlignment="1">
      <alignment horizontal="center"/>
    </xf>
    <xf numFmtId="0" fontId="0" fillId="0" borderId="7" xfId="0" applyBorder="1"/>
    <xf numFmtId="169" fontId="5" fillId="0" borderId="7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0" fontId="0" fillId="0" borderId="39" xfId="0" applyBorder="1"/>
    <xf numFmtId="172" fontId="7" fillId="0" borderId="12" xfId="0" quotePrefix="1" applyNumberFormat="1" applyFont="1" applyBorder="1" applyAlignment="1">
      <alignment horizontal="center"/>
    </xf>
    <xf numFmtId="172" fontId="4" fillId="0" borderId="0" xfId="0" quotePrefix="1" applyNumberFormat="1" applyFont="1" applyAlignment="1">
      <alignment horizontal="center"/>
    </xf>
    <xf numFmtId="171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69" fontId="4" fillId="0" borderId="40" xfId="0" applyNumberFormat="1" applyFont="1" applyBorder="1" applyAlignment="1">
      <alignment horizontal="center"/>
    </xf>
    <xf numFmtId="172" fontId="4" fillId="0" borderId="41" xfId="0" quotePrefix="1" applyNumberFormat="1" applyFont="1" applyBorder="1" applyAlignment="1">
      <alignment horizontal="center"/>
    </xf>
    <xf numFmtId="171" fontId="4" fillId="0" borderId="41" xfId="0" applyNumberFormat="1" applyFont="1" applyBorder="1" applyAlignment="1">
      <alignment horizontal="center"/>
    </xf>
    <xf numFmtId="169" fontId="4" fillId="0" borderId="41" xfId="0" applyNumberFormat="1" applyFont="1" applyBorder="1" applyAlignment="1">
      <alignment horizontal="center"/>
    </xf>
    <xf numFmtId="169" fontId="9" fillId="0" borderId="42" xfId="0" applyNumberFormat="1" applyFont="1" applyBorder="1" applyAlignment="1">
      <alignment horizontal="center"/>
    </xf>
    <xf numFmtId="169" fontId="9" fillId="0" borderId="1" xfId="0" applyNumberFormat="1" applyFont="1" applyBorder="1" applyAlignment="1">
      <alignment horizontal="center"/>
    </xf>
    <xf numFmtId="0" fontId="0" fillId="0" borderId="43" xfId="0" applyBorder="1"/>
    <xf numFmtId="0" fontId="5" fillId="0" borderId="41" xfId="0" applyFont="1" applyBorder="1"/>
    <xf numFmtId="0" fontId="5" fillId="0" borderId="41" xfId="0" applyFont="1" applyBorder="1" applyAlignment="1">
      <alignment horizontal="center"/>
    </xf>
    <xf numFmtId="177" fontId="0" fillId="0" borderId="0" xfId="0" applyNumberFormat="1"/>
    <xf numFmtId="0" fontId="2" fillId="4" borderId="0" xfId="0" applyFont="1" applyFill="1" applyAlignment="1">
      <alignment wrapText="1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2" fillId="6" borderId="28" xfId="0" applyFont="1" applyFill="1" applyBorder="1" applyAlignment="1">
      <alignment horizontal="center" wrapText="1"/>
    </xf>
    <xf numFmtId="0" fontId="2" fillId="6" borderId="28" xfId="0" applyFont="1" applyFill="1" applyBorder="1" applyAlignment="1">
      <alignment horizontal="center"/>
    </xf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13" fillId="9" borderId="30" xfId="0" applyFont="1" applyFill="1" applyBorder="1" applyAlignment="1">
      <alignment horizontal="center" wrapText="1" readingOrder="1"/>
    </xf>
    <xf numFmtId="0" fontId="13" fillId="9" borderId="31" xfId="0" applyFont="1" applyFill="1" applyBorder="1" applyAlignment="1">
      <alignment horizontal="center" wrapText="1" readingOrder="1"/>
    </xf>
    <xf numFmtId="0" fontId="13" fillId="9" borderId="2" xfId="0" applyFont="1" applyFill="1" applyBorder="1" applyAlignment="1">
      <alignment horizontal="center" wrapText="1" readingOrder="1"/>
    </xf>
    <xf numFmtId="0" fontId="13" fillId="9" borderId="20" xfId="0" applyFont="1" applyFill="1" applyBorder="1" applyAlignment="1">
      <alignment horizontal="center" wrapText="1" readingOrder="1"/>
    </xf>
    <xf numFmtId="0" fontId="13" fillId="9" borderId="17" xfId="0" applyFont="1" applyFill="1" applyBorder="1" applyAlignment="1">
      <alignment horizontal="center" wrapText="1"/>
    </xf>
    <xf numFmtId="0" fontId="13" fillId="9" borderId="2" xfId="0" applyFont="1" applyFill="1" applyBorder="1" applyAlignment="1">
      <alignment horizontal="center" wrapText="1"/>
    </xf>
    <xf numFmtId="0" fontId="13" fillId="9" borderId="8" xfId="0" applyFont="1" applyFill="1" applyBorder="1" applyAlignment="1">
      <alignment horizontal="center" wrapText="1"/>
    </xf>
    <xf numFmtId="0" fontId="13" fillId="9" borderId="0" xfId="0" applyFont="1" applyFill="1" applyAlignment="1">
      <alignment horizontal="center" wrapText="1"/>
    </xf>
    <xf numFmtId="0" fontId="13" fillId="10" borderId="30" xfId="0" applyFont="1" applyFill="1" applyBorder="1" applyAlignment="1">
      <alignment horizontal="center" wrapText="1" readingOrder="1"/>
    </xf>
    <xf numFmtId="0" fontId="13" fillId="10" borderId="31" xfId="0" applyFont="1" applyFill="1" applyBorder="1" applyAlignment="1">
      <alignment horizontal="center" wrapText="1" readingOrder="1"/>
    </xf>
    <xf numFmtId="0" fontId="13" fillId="10" borderId="33" xfId="0" applyFont="1" applyFill="1" applyBorder="1" applyAlignment="1">
      <alignment horizontal="center" wrapText="1" readingOrder="1"/>
    </xf>
    <xf numFmtId="0" fontId="13" fillId="10" borderId="6" xfId="0" applyFont="1" applyFill="1" applyBorder="1" applyAlignment="1">
      <alignment horizontal="center" wrapText="1" readingOrder="1"/>
    </xf>
    <xf numFmtId="0" fontId="13" fillId="10" borderId="32" xfId="0" applyFont="1" applyFill="1" applyBorder="1" applyAlignment="1">
      <alignment horizontal="center" wrapText="1" readingOrder="1"/>
    </xf>
    <xf numFmtId="0" fontId="13" fillId="10" borderId="3" xfId="0" applyFont="1" applyFill="1" applyBorder="1" applyAlignment="1">
      <alignment horizontal="left" wrapText="1" readingOrder="1"/>
    </xf>
    <xf numFmtId="0" fontId="13" fillId="10" borderId="7" xfId="0" applyFont="1" applyFill="1" applyBorder="1" applyAlignment="1">
      <alignment horizontal="left" wrapText="1" readingOrder="1"/>
    </xf>
    <xf numFmtId="0" fontId="13" fillId="10" borderId="0" xfId="0" applyFont="1" applyFill="1" applyAlignment="1">
      <alignment horizontal="center" wrapText="1" readingOrder="1"/>
    </xf>
    <xf numFmtId="0" fontId="13" fillId="11" borderId="30" xfId="0" applyFont="1" applyFill="1" applyBorder="1" applyAlignment="1">
      <alignment horizontal="center" wrapText="1" readingOrder="1"/>
    </xf>
    <xf numFmtId="0" fontId="13" fillId="11" borderId="31" xfId="0" applyFont="1" applyFill="1" applyBorder="1" applyAlignment="1">
      <alignment horizontal="center" wrapText="1" readingOrder="1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0" fontId="2" fillId="5" borderId="13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 wrapText="1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3" xfId="4" xr:uid="{0B46841C-DD80-4FAF-82B4-F65D75AC516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blpc2021\Documents\Rates\Clean%20Energy%20Rider\Draft%20application\Application\Exhibits\September%2030\Exhibit%20CETP%20Project%201-1.xlsx" TargetMode="External"/><Relationship Id="rId1" Type="http://schemas.openxmlformats.org/officeDocument/2006/relationships/externalLinkPath" Target="Exhibit%20CETP%20Project%201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Required Revenue"/>
    </sheetNames>
    <sheetDataSet>
      <sheetData sheetId="0">
        <row r="37">
          <cell r="D37">
            <v>24517267.925910097</v>
          </cell>
          <cell r="F37">
            <v>52287936.295544803</v>
          </cell>
          <cell r="H37">
            <v>54460406.762257688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81C4-8CE9-4E65-9447-499CE38105A3}">
  <dimension ref="A1:P19"/>
  <sheetViews>
    <sheetView tabSelected="1" workbookViewId="0">
      <selection activeCell="J9" sqref="J9"/>
    </sheetView>
  </sheetViews>
  <sheetFormatPr defaultRowHeight="14.4" x14ac:dyDescent="0.3"/>
  <cols>
    <col min="1" max="1" width="28.33203125" customWidth="1"/>
    <col min="2" max="2" width="8.44140625" customWidth="1"/>
    <col min="3" max="3" width="2.88671875" customWidth="1"/>
    <col min="4" max="4" width="20.77734375" customWidth="1"/>
    <col min="5" max="5" width="2.77734375" customWidth="1"/>
    <col min="6" max="6" width="20" customWidth="1"/>
    <col min="7" max="7" width="2.88671875" customWidth="1"/>
    <col min="8" max="8" width="16" customWidth="1"/>
    <col min="9" max="9" width="16.44140625" customWidth="1"/>
    <col min="10" max="10" width="16.88671875" customWidth="1"/>
    <col min="11" max="11" width="2.6640625" customWidth="1"/>
    <col min="12" max="12" width="15.21875" bestFit="1" customWidth="1"/>
    <col min="13" max="13" width="14.88671875" bestFit="1" customWidth="1"/>
    <col min="14" max="14" width="10.109375" bestFit="1" customWidth="1"/>
    <col min="15" max="15" width="2.5546875" customWidth="1"/>
    <col min="16" max="16" width="11.44140625" customWidth="1"/>
  </cols>
  <sheetData>
    <row r="1" spans="1:16" x14ac:dyDescent="0.3">
      <c r="F1" s="242" t="s">
        <v>154</v>
      </c>
      <c r="G1" s="242"/>
      <c r="H1" s="242"/>
      <c r="I1" s="242"/>
      <c r="J1" s="242"/>
      <c r="K1" s="242"/>
    </row>
    <row r="2" spans="1:16" x14ac:dyDescent="0.3">
      <c r="F2" s="242" t="s">
        <v>155</v>
      </c>
      <c r="G2" s="242"/>
      <c r="H2" s="242"/>
      <c r="I2" s="242"/>
      <c r="J2" s="242"/>
      <c r="K2" s="242"/>
    </row>
    <row r="3" spans="1:16" x14ac:dyDescent="0.3">
      <c r="F3" s="242" t="s">
        <v>157</v>
      </c>
      <c r="G3" s="242"/>
      <c r="H3" s="242"/>
      <c r="I3" s="242"/>
      <c r="J3" s="242"/>
      <c r="K3" s="242"/>
    </row>
    <row r="4" spans="1:16" ht="43.2" customHeight="1" x14ac:dyDescent="0.3">
      <c r="B4" s="243" t="s">
        <v>10</v>
      </c>
      <c r="C4" s="245"/>
      <c r="D4" s="243" t="s">
        <v>8</v>
      </c>
      <c r="E4" s="243"/>
      <c r="F4" s="243" t="s">
        <v>11</v>
      </c>
      <c r="G4" s="10"/>
      <c r="H4" s="243" t="s">
        <v>12</v>
      </c>
      <c r="I4" s="243"/>
      <c r="J4" s="243"/>
      <c r="K4" s="10"/>
      <c r="L4" s="243" t="s">
        <v>13</v>
      </c>
      <c r="M4" s="243"/>
      <c r="N4" s="243"/>
      <c r="P4" s="170"/>
    </row>
    <row r="5" spans="1:16" ht="28.8" x14ac:dyDescent="0.3">
      <c r="A5" s="8" t="s">
        <v>7</v>
      </c>
      <c r="B5" s="244"/>
      <c r="C5" s="245"/>
      <c r="D5" s="244"/>
      <c r="E5" s="244"/>
      <c r="F5" s="244"/>
      <c r="G5" s="10"/>
      <c r="H5" s="9">
        <v>2024</v>
      </c>
      <c r="I5" s="9">
        <v>2025</v>
      </c>
      <c r="J5" s="9">
        <v>2026</v>
      </c>
      <c r="K5" s="10"/>
      <c r="L5" s="9">
        <v>2024</v>
      </c>
      <c r="M5" s="9">
        <v>2025</v>
      </c>
      <c r="N5" s="9">
        <v>2026</v>
      </c>
      <c r="P5" s="9" t="s">
        <v>156</v>
      </c>
    </row>
    <row r="6" spans="1:16" x14ac:dyDescent="0.3">
      <c r="A6" t="s">
        <v>0</v>
      </c>
      <c r="B6" s="6">
        <v>7.6236423720633953E-2</v>
      </c>
      <c r="C6" s="6"/>
      <c r="D6" s="1">
        <v>350658749.66966999</v>
      </c>
      <c r="E6" s="1"/>
      <c r="F6" s="1">
        <f>D6*(1+B6)</f>
        <v>377391718.69083464</v>
      </c>
      <c r="G6" s="1"/>
      <c r="H6" s="162">
        <f>ROUND((H$18*(1+$B6)),6)</f>
        <v>2.5984E-2</v>
      </c>
      <c r="I6" s="162">
        <f t="shared" ref="I6:J6" si="0">ROUND((I$18*(1+$B6)),6)</f>
        <v>5.5414999999999999E-2</v>
      </c>
      <c r="J6" s="162">
        <f t="shared" si="0"/>
        <v>5.7716999999999997E-2</v>
      </c>
      <c r="K6" s="7"/>
      <c r="L6" s="159">
        <f t="shared" ref="L6:N12" si="1">H6*$D6</f>
        <v>9111516.9514167048</v>
      </c>
      <c r="M6" s="159">
        <f t="shared" si="1"/>
        <v>19431754.612944763</v>
      </c>
      <c r="N6" s="159">
        <f t="shared" si="1"/>
        <v>20238971.054684341</v>
      </c>
      <c r="P6" s="13">
        <f>SUM(H6:J6)</f>
        <v>0.13911599999999999</v>
      </c>
    </row>
    <row r="7" spans="1:16" x14ac:dyDescent="0.3">
      <c r="A7" t="s">
        <v>1</v>
      </c>
      <c r="B7" s="6">
        <f>B6</f>
        <v>7.6236423720633953E-2</v>
      </c>
      <c r="C7" s="6"/>
      <c r="D7" s="1">
        <v>53841193.32999</v>
      </c>
      <c r="E7" s="1"/>
      <c r="F7" s="1">
        <f t="shared" ref="F7:F12" si="2">D7*(1+B7)</f>
        <v>57945853.358319685</v>
      </c>
      <c r="G7" s="1"/>
      <c r="H7" s="162">
        <f t="shared" ref="H7:J12" si="3">ROUND((H$18*(1+$B7)),6)</f>
        <v>2.5984E-2</v>
      </c>
      <c r="I7" s="162">
        <f t="shared" si="3"/>
        <v>5.5414999999999999E-2</v>
      </c>
      <c r="J7" s="162">
        <f t="shared" si="3"/>
        <v>5.7716999999999997E-2</v>
      </c>
      <c r="K7" s="7"/>
      <c r="L7" s="159">
        <f t="shared" si="1"/>
        <v>1399009.5674864601</v>
      </c>
      <c r="M7" s="159">
        <f t="shared" si="1"/>
        <v>2983609.7283813958</v>
      </c>
      <c r="N7" s="159">
        <f t="shared" si="1"/>
        <v>3107552.1554270326</v>
      </c>
      <c r="P7" s="13">
        <f t="shared" ref="P7:P12" si="4">SUM(H7:J7)</f>
        <v>0.13911599999999999</v>
      </c>
    </row>
    <row r="8" spans="1:16" x14ac:dyDescent="0.3">
      <c r="A8" t="s">
        <v>2</v>
      </c>
      <c r="B8" s="6">
        <f>B6</f>
        <v>7.6236423720633953E-2</v>
      </c>
      <c r="C8" s="6"/>
      <c r="D8" s="1">
        <v>317104089.88320005</v>
      </c>
      <c r="E8" s="1"/>
      <c r="F8" s="1">
        <f t="shared" si="2"/>
        <v>341278971.64308167</v>
      </c>
      <c r="G8" s="1"/>
      <c r="H8" s="162">
        <f t="shared" si="3"/>
        <v>2.5984E-2</v>
      </c>
      <c r="I8" s="162">
        <f t="shared" si="3"/>
        <v>5.5414999999999999E-2</v>
      </c>
      <c r="J8" s="162">
        <f t="shared" si="3"/>
        <v>5.7716999999999997E-2</v>
      </c>
      <c r="K8" s="7"/>
      <c r="L8" s="159">
        <f t="shared" si="1"/>
        <v>8239632.6715250704</v>
      </c>
      <c r="M8" s="159">
        <f t="shared" si="1"/>
        <v>17572323.14087753</v>
      </c>
      <c r="N8" s="159">
        <f t="shared" si="1"/>
        <v>18302296.755788658</v>
      </c>
      <c r="P8" s="13">
        <f t="shared" si="4"/>
        <v>0.13911599999999999</v>
      </c>
    </row>
    <row r="9" spans="1:16" x14ac:dyDescent="0.3">
      <c r="A9" t="s">
        <v>3</v>
      </c>
      <c r="B9" s="6">
        <v>5.7771252843217283E-2</v>
      </c>
      <c r="C9" s="6"/>
      <c r="D9" s="1">
        <v>180384540.58199</v>
      </c>
      <c r="E9" s="1"/>
      <c r="F9" s="1">
        <f t="shared" si="2"/>
        <v>190805581.48495972</v>
      </c>
      <c r="G9" s="1"/>
      <c r="H9" s="162">
        <f t="shared" si="3"/>
        <v>2.5538000000000002E-2</v>
      </c>
      <c r="I9" s="162">
        <f t="shared" si="3"/>
        <v>5.4463999999999999E-2</v>
      </c>
      <c r="J9" s="162">
        <f t="shared" si="3"/>
        <v>5.6727E-2</v>
      </c>
      <c r="K9" s="7"/>
      <c r="L9" s="159">
        <f t="shared" si="1"/>
        <v>4606660.397382861</v>
      </c>
      <c r="M9" s="159">
        <f t="shared" si="1"/>
        <v>9824463.618257504</v>
      </c>
      <c r="N9" s="159">
        <f t="shared" si="1"/>
        <v>10232673.833594548</v>
      </c>
      <c r="P9" s="13">
        <f t="shared" si="4"/>
        <v>0.13672899999999999</v>
      </c>
    </row>
    <row r="10" spans="1:16" x14ac:dyDescent="0.3">
      <c r="A10" t="s">
        <v>4</v>
      </c>
      <c r="B10" s="6">
        <v>6.6355804330277476E-2</v>
      </c>
      <c r="C10" s="6"/>
      <c r="D10" s="1">
        <v>39107971</v>
      </c>
      <c r="E10" s="1"/>
      <c r="F10" s="1">
        <f t="shared" si="2"/>
        <v>41703011.871430166</v>
      </c>
      <c r="G10" s="1"/>
      <c r="H10" s="162">
        <f>ROUND((H$18*(1+$B10)),6)</f>
        <v>2.5745000000000001E-2</v>
      </c>
      <c r="I10" s="162">
        <f t="shared" si="3"/>
        <v>5.4906000000000003E-2</v>
      </c>
      <c r="J10" s="162">
        <f t="shared" si="3"/>
        <v>5.7188000000000003E-2</v>
      </c>
      <c r="K10" s="7"/>
      <c r="L10" s="159">
        <f t="shared" si="1"/>
        <v>1006834.713395</v>
      </c>
      <c r="M10" s="159">
        <f t="shared" si="1"/>
        <v>2147262.2557260003</v>
      </c>
      <c r="N10" s="159">
        <f t="shared" si="1"/>
        <v>2236506.645548</v>
      </c>
      <c r="P10" s="13">
        <f t="shared" si="4"/>
        <v>0.13783899999999999</v>
      </c>
    </row>
    <row r="11" spans="1:16" x14ac:dyDescent="0.3">
      <c r="A11" t="s">
        <v>5</v>
      </c>
      <c r="B11" s="6">
        <v>5.7771252843217283E-2</v>
      </c>
      <c r="C11" s="6"/>
      <c r="D11" s="1">
        <v>1761794.1026900001</v>
      </c>
      <c r="E11" s="1"/>
      <c r="F11" s="1">
        <f t="shared" si="2"/>
        <v>1863575.1552541931</v>
      </c>
      <c r="G11" s="1"/>
      <c r="H11" s="162">
        <f t="shared" si="3"/>
        <v>2.5538000000000002E-2</v>
      </c>
      <c r="I11" s="162">
        <f t="shared" si="3"/>
        <v>5.4463999999999999E-2</v>
      </c>
      <c r="J11" s="162">
        <f t="shared" si="3"/>
        <v>5.6727E-2</v>
      </c>
      <c r="K11" s="7"/>
      <c r="L11" s="159">
        <f t="shared" si="1"/>
        <v>44992.697794497224</v>
      </c>
      <c r="M11" s="159">
        <f t="shared" si="1"/>
        <v>95954.354008908165</v>
      </c>
      <c r="N11" s="159">
        <f t="shared" si="1"/>
        <v>99941.294063295631</v>
      </c>
      <c r="P11" s="13">
        <f t="shared" si="4"/>
        <v>0.13672899999999999</v>
      </c>
    </row>
    <row r="12" spans="1:16" x14ac:dyDescent="0.3">
      <c r="A12" t="s">
        <v>6</v>
      </c>
      <c r="B12" s="6">
        <f>B6</f>
        <v>7.6236423720633953E-2</v>
      </c>
      <c r="C12" s="6"/>
      <c r="D12" s="1">
        <v>4194426.8234519996</v>
      </c>
      <c r="E12" s="1"/>
      <c r="F12" s="1">
        <f t="shared" si="2"/>
        <v>4514194.9240298783</v>
      </c>
      <c r="G12" s="1"/>
      <c r="H12" s="163">
        <f t="shared" si="3"/>
        <v>2.5984E-2</v>
      </c>
      <c r="I12" s="163">
        <f t="shared" si="3"/>
        <v>5.5414999999999999E-2</v>
      </c>
      <c r="J12" s="163">
        <f t="shared" si="3"/>
        <v>5.7716999999999997E-2</v>
      </c>
      <c r="K12" s="12"/>
      <c r="L12" s="159">
        <f t="shared" si="1"/>
        <v>108987.98658057676</v>
      </c>
      <c r="M12" s="159">
        <f t="shared" si="1"/>
        <v>232434.16242159254</v>
      </c>
      <c r="N12" s="159">
        <f t="shared" si="1"/>
        <v>242089.73296917905</v>
      </c>
      <c r="P12" s="169">
        <f t="shared" si="4"/>
        <v>0.13911599999999999</v>
      </c>
    </row>
    <row r="13" spans="1:16" x14ac:dyDescent="0.3">
      <c r="A13" t="s">
        <v>9</v>
      </c>
      <c r="D13" s="4">
        <f>SUM(D6:D12)</f>
        <v>947052765.39099205</v>
      </c>
      <c r="E13" s="11"/>
      <c r="F13" s="4">
        <f>SUM(F6:F12)</f>
        <v>1015502907.1279099</v>
      </c>
      <c r="G13" s="11"/>
      <c r="H13" s="5">
        <f>L13/$D$13</f>
        <v>2.5888351612023467E-2</v>
      </c>
      <c r="I13" s="5">
        <f>M13/$D$13</f>
        <v>5.5211075647966255E-2</v>
      </c>
      <c r="J13" s="5">
        <f>N13/$D$13</f>
        <v>5.7504748903395214E-2</v>
      </c>
      <c r="K13" s="11"/>
      <c r="L13" s="160">
        <f>SUM(L6:L12)</f>
        <v>24517634.985581171</v>
      </c>
      <c r="M13" s="160">
        <f t="shared" ref="M13:N13" si="5">SUM(M6:M12)</f>
        <v>52287801.872617699</v>
      </c>
      <c r="N13" s="160">
        <f t="shared" si="5"/>
        <v>54460031.472075053</v>
      </c>
      <c r="P13" s="5">
        <f>SUM(L13:N13)/D13</f>
        <v>0.13860417616338494</v>
      </c>
    </row>
    <row r="14" spans="1:16" x14ac:dyDescent="0.3">
      <c r="I14" s="2"/>
      <c r="J14" s="158" t="s">
        <v>148</v>
      </c>
      <c r="L14" s="161">
        <f>L13-H16</f>
        <v>367.05967107415199</v>
      </c>
      <c r="M14" s="161">
        <f>M13-I16</f>
        <v>-134.42292710393667</v>
      </c>
      <c r="N14" s="161">
        <f>N13-J16</f>
        <v>-375.2901826351881</v>
      </c>
    </row>
    <row r="16" spans="1:16" ht="24.6" customHeight="1" x14ac:dyDescent="0.3">
      <c r="E16" s="2"/>
      <c r="F16" s="158" t="s">
        <v>14</v>
      </c>
      <c r="G16" s="157"/>
      <c r="H16" s="14">
        <f>'[1]Summary Required Revenue'!$D$37</f>
        <v>24517267.925910097</v>
      </c>
      <c r="I16" s="14">
        <f>'[1]Summary Required Revenue'!$F$37</f>
        <v>52287936.295544803</v>
      </c>
      <c r="J16" s="14">
        <f>'[1]Summary Required Revenue'!$H$37</f>
        <v>54460406.762257688</v>
      </c>
      <c r="L16" s="168"/>
    </row>
    <row r="17" spans="5:16" x14ac:dyDescent="0.3">
      <c r="L17" s="13"/>
    </row>
    <row r="18" spans="5:16" x14ac:dyDescent="0.3">
      <c r="E18" s="2"/>
      <c r="F18" t="s">
        <v>158</v>
      </c>
      <c r="G18" s="13"/>
      <c r="H18" s="240">
        <f>H$16/$F$13</f>
        <v>2.4142981525528975E-2</v>
      </c>
      <c r="I18" s="240">
        <f t="shared" ref="I18" si="6">I$16/$F$13</f>
        <v>5.1489696315521E-2</v>
      </c>
      <c r="J18" s="240">
        <f>J$16/$F$13</f>
        <v>5.3629001335195596E-2</v>
      </c>
      <c r="L18" s="2"/>
      <c r="P18" s="5">
        <f>SUM(H16:J16)/F13</f>
        <v>0.12926167917624556</v>
      </c>
    </row>
    <row r="19" spans="5:16" x14ac:dyDescent="0.3">
      <c r="F19" t="s">
        <v>159</v>
      </c>
      <c r="G19" s="13"/>
      <c r="H19" s="240">
        <f>L$13/$D$13</f>
        <v>2.5888351612023467E-2</v>
      </c>
      <c r="I19" s="240">
        <f>M$13/$D$13</f>
        <v>5.5211075647966255E-2</v>
      </c>
      <c r="J19" s="240">
        <f>N$13/$D$13</f>
        <v>5.7504748903395214E-2</v>
      </c>
      <c r="P19" s="5">
        <f>SUM(L13:N13)/D13</f>
        <v>0.13860417616338494</v>
      </c>
    </row>
  </sheetData>
  <mergeCells count="10">
    <mergeCell ref="B4:B5"/>
    <mergeCell ref="D4:D5"/>
    <mergeCell ref="F4:F5"/>
    <mergeCell ref="E4:E5"/>
    <mergeCell ref="C4:C5"/>
    <mergeCell ref="F1:K1"/>
    <mergeCell ref="F2:K2"/>
    <mergeCell ref="F3:K3"/>
    <mergeCell ref="H4:J4"/>
    <mergeCell ref="L4:N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4B3D-7A13-4645-A2F3-68F5157AC99C}">
  <dimension ref="C3:Q59"/>
  <sheetViews>
    <sheetView workbookViewId="0">
      <selection activeCell="I45" sqref="I45"/>
    </sheetView>
  </sheetViews>
  <sheetFormatPr defaultColWidth="9.109375" defaultRowHeight="14.4" x14ac:dyDescent="0.3"/>
  <cols>
    <col min="1" max="3" width="9.109375" style="99"/>
    <col min="4" max="4" width="25.33203125" style="99" customWidth="1"/>
    <col min="5" max="7" width="9.6640625" style="99" bestFit="1" customWidth="1"/>
    <col min="8" max="8" width="10" style="99" bestFit="1" customWidth="1"/>
    <col min="9" max="9" width="10" style="99" customWidth="1"/>
    <col min="10" max="10" width="10" style="99" bestFit="1" customWidth="1"/>
    <col min="11" max="11" width="12.44140625" style="99" customWidth="1"/>
    <col min="12" max="12" width="12.33203125" style="99" customWidth="1"/>
    <col min="13" max="13" width="12" style="99" customWidth="1"/>
    <col min="14" max="14" width="10.109375" style="99" customWidth="1"/>
    <col min="15" max="15" width="13.88671875" style="99" customWidth="1"/>
    <col min="16" max="16" width="7" style="99" bestFit="1" customWidth="1"/>
    <col min="17" max="16384" width="9.109375" style="99"/>
  </cols>
  <sheetData>
    <row r="3" spans="3:17" x14ac:dyDescent="0.3">
      <c r="C3" s="66"/>
      <c r="D3" s="66"/>
      <c r="E3" s="66"/>
      <c r="F3" s="66"/>
      <c r="G3" s="69" t="s">
        <v>104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3:17" x14ac:dyDescent="0.3"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3:17" ht="40.5" customHeight="1" x14ac:dyDescent="0.3">
      <c r="C5" s="66"/>
      <c r="D5" s="280" t="s">
        <v>0</v>
      </c>
      <c r="E5" s="281"/>
      <c r="F5" s="281"/>
      <c r="G5" s="281"/>
      <c r="H5" s="281"/>
      <c r="I5" s="281"/>
      <c r="J5" s="281"/>
      <c r="K5" s="281"/>
      <c r="L5" s="281"/>
      <c r="M5" s="282"/>
      <c r="N5" s="66"/>
      <c r="O5" s="66"/>
      <c r="P5" s="66"/>
      <c r="Q5" s="66"/>
    </row>
    <row r="6" spans="3:17" ht="40.5" customHeight="1" x14ac:dyDescent="0.3">
      <c r="C6" s="66"/>
      <c r="D6" s="166"/>
      <c r="E6" s="165"/>
      <c r="F6" s="167"/>
      <c r="G6" s="278" t="s">
        <v>150</v>
      </c>
      <c r="H6" s="278"/>
      <c r="I6" s="278"/>
      <c r="J6" s="279"/>
      <c r="K6" s="277" t="s">
        <v>149</v>
      </c>
      <c r="L6" s="278"/>
      <c r="M6" s="279"/>
      <c r="N6" s="66"/>
      <c r="O6" s="66"/>
      <c r="P6" s="66"/>
      <c r="Q6" s="66"/>
    </row>
    <row r="7" spans="3:17" ht="43.2" x14ac:dyDescent="0.3">
      <c r="C7" s="66"/>
      <c r="D7" s="276" t="s">
        <v>105</v>
      </c>
      <c r="E7" s="276"/>
      <c r="F7" s="276"/>
      <c r="G7" s="164" t="s">
        <v>15</v>
      </c>
      <c r="H7" s="164" t="s">
        <v>106</v>
      </c>
      <c r="I7" s="164" t="s">
        <v>107</v>
      </c>
      <c r="J7" s="164" t="s">
        <v>108</v>
      </c>
      <c r="K7" s="100">
        <v>2024</v>
      </c>
      <c r="L7" s="100">
        <v>2025</v>
      </c>
      <c r="M7" s="100">
        <v>2026</v>
      </c>
      <c r="N7" s="66"/>
      <c r="O7" s="66"/>
      <c r="P7" s="66"/>
      <c r="Q7" s="66"/>
    </row>
    <row r="8" spans="3:17" ht="28.8" x14ac:dyDescent="0.3">
      <c r="C8" s="66"/>
      <c r="D8" s="102" t="s">
        <v>109</v>
      </c>
      <c r="E8" s="102" t="s">
        <v>110</v>
      </c>
      <c r="F8" s="102" t="s">
        <v>111</v>
      </c>
      <c r="G8" s="100" t="s">
        <v>112</v>
      </c>
      <c r="H8" s="100" t="s">
        <v>112</v>
      </c>
      <c r="I8" s="103">
        <v>0.17499999999999999</v>
      </c>
      <c r="J8" s="104">
        <v>0.45109101248895617</v>
      </c>
      <c r="K8" s="104">
        <f>'CETR Rate'!H6</f>
        <v>2.5984E-2</v>
      </c>
      <c r="L8" s="104">
        <f>'CETR Rate'!I6</f>
        <v>5.5414999999999999E-2</v>
      </c>
      <c r="M8" s="104">
        <f>'CETR Rate'!J6</f>
        <v>5.7716999999999997E-2</v>
      </c>
      <c r="N8" s="115"/>
      <c r="O8" s="111"/>
      <c r="P8" s="66"/>
      <c r="Q8" s="66"/>
    </row>
    <row r="9" spans="3:17" x14ac:dyDescent="0.3">
      <c r="C9" s="66"/>
      <c r="D9" s="107">
        <v>0</v>
      </c>
      <c r="E9" s="108">
        <v>150</v>
      </c>
      <c r="F9" s="108">
        <v>150</v>
      </c>
      <c r="G9" s="109">
        <f>'Rate Summary'!I12</f>
        <v>7</v>
      </c>
      <c r="H9" s="104">
        <f>'Rate Summary'!I16</f>
        <v>0.16</v>
      </c>
      <c r="I9" s="110"/>
      <c r="J9" s="111"/>
      <c r="K9" s="111"/>
      <c r="L9" s="66"/>
      <c r="M9" s="66"/>
      <c r="N9" s="66"/>
      <c r="O9" s="66"/>
      <c r="P9" s="66"/>
      <c r="Q9" s="66"/>
    </row>
    <row r="10" spans="3:17" x14ac:dyDescent="0.3">
      <c r="C10" s="66"/>
      <c r="D10" s="107">
        <v>151</v>
      </c>
      <c r="E10" s="108">
        <v>500</v>
      </c>
      <c r="F10" s="108">
        <v>350</v>
      </c>
      <c r="G10" s="109">
        <f>'Rate Summary'!I13</f>
        <v>12</v>
      </c>
      <c r="H10" s="104">
        <f>'Rate Summary'!I17</f>
        <v>0.19600000000000001</v>
      </c>
      <c r="I10" s="110"/>
      <c r="J10" s="111"/>
      <c r="K10" s="111"/>
      <c r="L10" s="66"/>
      <c r="M10" s="105"/>
      <c r="N10" s="66"/>
      <c r="O10" s="66"/>
      <c r="P10" s="66"/>
      <c r="Q10" s="66"/>
    </row>
    <row r="11" spans="3:17" x14ac:dyDescent="0.3">
      <c r="C11" s="66"/>
      <c r="D11" s="107">
        <v>501</v>
      </c>
      <c r="E11" s="108">
        <v>1500</v>
      </c>
      <c r="F11" s="108">
        <v>1000</v>
      </c>
      <c r="G11" s="109">
        <f>'Rate Summary'!I14</f>
        <v>17</v>
      </c>
      <c r="H11" s="104">
        <f>'Rate Summary'!I18</f>
        <v>0.22500000000000001</v>
      </c>
      <c r="I11" s="110"/>
      <c r="J11" s="111"/>
      <c r="K11" s="111"/>
      <c r="L11" s="66"/>
      <c r="M11" s="66"/>
      <c r="N11" s="66"/>
      <c r="O11" s="66"/>
      <c r="P11" s="66"/>
      <c r="Q11" s="66"/>
    </row>
    <row r="12" spans="3:17" x14ac:dyDescent="0.3">
      <c r="C12" s="66"/>
      <c r="D12" s="107">
        <v>1500</v>
      </c>
      <c r="E12" s="108">
        <v>10000</v>
      </c>
      <c r="F12" s="107"/>
      <c r="G12" s="109">
        <f>G11</f>
        <v>17</v>
      </c>
      <c r="H12" s="104">
        <f>'Rate Summary'!I19</f>
        <v>0.254</v>
      </c>
      <c r="I12" s="110"/>
      <c r="J12" s="111"/>
      <c r="K12" s="111"/>
      <c r="L12" s="66"/>
      <c r="M12" s="66"/>
      <c r="N12" s="66"/>
      <c r="O12" s="66"/>
      <c r="P12" s="66"/>
      <c r="Q12" s="66"/>
    </row>
    <row r="13" spans="3:17" x14ac:dyDescent="0.3">
      <c r="C13" s="66"/>
      <c r="D13" s="66"/>
      <c r="E13" s="66"/>
      <c r="F13" s="66"/>
      <c r="G13" s="111"/>
      <c r="H13" s="111"/>
      <c r="I13" s="111"/>
      <c r="J13" s="111"/>
      <c r="K13" s="111"/>
      <c r="L13" s="66"/>
      <c r="M13" s="66"/>
      <c r="N13" s="66"/>
      <c r="O13" s="66"/>
      <c r="P13" s="66"/>
      <c r="Q13" s="66"/>
    </row>
    <row r="14" spans="3:17" x14ac:dyDescent="0.3"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3:17" x14ac:dyDescent="0.3">
      <c r="C15" s="66"/>
      <c r="D15" s="280" t="s">
        <v>56</v>
      </c>
      <c r="E15" s="281"/>
      <c r="F15" s="281"/>
      <c r="G15" s="284"/>
      <c r="H15" s="284"/>
      <c r="I15" s="284"/>
      <c r="J15" s="284"/>
      <c r="K15" s="284"/>
      <c r="L15" s="284"/>
      <c r="M15" s="284"/>
      <c r="N15" s="66"/>
      <c r="O15" s="66"/>
      <c r="P15" s="66"/>
      <c r="Q15" s="66"/>
    </row>
    <row r="16" spans="3:17" ht="34.200000000000003" customHeight="1" x14ac:dyDescent="0.3">
      <c r="C16" s="66"/>
      <c r="D16" s="165"/>
      <c r="E16" s="165"/>
      <c r="F16" s="165"/>
      <c r="G16" s="283" t="s">
        <v>150</v>
      </c>
      <c r="H16" s="283"/>
      <c r="I16" s="283"/>
      <c r="J16" s="283"/>
      <c r="K16" s="277" t="s">
        <v>149</v>
      </c>
      <c r="L16" s="278"/>
      <c r="M16" s="279"/>
      <c r="N16" s="66"/>
      <c r="O16" s="66"/>
      <c r="P16" s="66"/>
      <c r="Q16" s="66"/>
    </row>
    <row r="17" spans="3:17" ht="43.2" x14ac:dyDescent="0.3">
      <c r="C17" s="66"/>
      <c r="D17" s="276" t="s">
        <v>105</v>
      </c>
      <c r="E17" s="276"/>
      <c r="F17" s="276"/>
      <c r="G17" s="100" t="s">
        <v>15</v>
      </c>
      <c r="H17" s="100" t="s">
        <v>106</v>
      </c>
      <c r="I17" s="100" t="s">
        <v>107</v>
      </c>
      <c r="J17" s="100" t="s">
        <v>108</v>
      </c>
      <c r="K17" s="100">
        <v>2024</v>
      </c>
      <c r="L17" s="100">
        <v>2025</v>
      </c>
      <c r="M17" s="100">
        <v>2026</v>
      </c>
      <c r="N17" s="66"/>
      <c r="O17" s="66"/>
      <c r="P17" s="66"/>
      <c r="Q17" s="66"/>
    </row>
    <row r="18" spans="3:17" ht="28.8" x14ac:dyDescent="0.3">
      <c r="C18" s="66"/>
      <c r="D18" s="102" t="s">
        <v>109</v>
      </c>
      <c r="E18" s="102" t="s">
        <v>110</v>
      </c>
      <c r="F18" s="102" t="s">
        <v>111</v>
      </c>
      <c r="G18" s="100" t="s">
        <v>112</v>
      </c>
      <c r="H18" s="100" t="s">
        <v>112</v>
      </c>
      <c r="I18" s="103">
        <v>0.17499999999999999</v>
      </c>
      <c r="J18" s="104">
        <f>J8</f>
        <v>0.45109101248895617</v>
      </c>
      <c r="K18" s="104">
        <f>'CETR Rate'!H7</f>
        <v>2.5984E-2</v>
      </c>
      <c r="L18" s="104">
        <f>'CETR Rate'!I7</f>
        <v>5.5414999999999999E-2</v>
      </c>
      <c r="M18" s="104">
        <f>'CETR Rate'!J7</f>
        <v>5.7716999999999997E-2</v>
      </c>
      <c r="N18" s="66"/>
      <c r="O18" s="66"/>
      <c r="P18" s="66"/>
      <c r="Q18" s="66"/>
    </row>
    <row r="19" spans="3:17" x14ac:dyDescent="0.3">
      <c r="C19" s="66"/>
      <c r="D19" s="107">
        <v>0</v>
      </c>
      <c r="E19" s="108">
        <v>150</v>
      </c>
      <c r="F19" s="108">
        <v>150</v>
      </c>
      <c r="G19" s="109"/>
      <c r="H19" s="104">
        <f>'Rate Summary'!I24</f>
        <v>0.13341789607515658</v>
      </c>
      <c r="I19" s="110"/>
      <c r="J19" s="111"/>
      <c r="K19" s="111"/>
      <c r="L19" s="66"/>
      <c r="M19" s="66"/>
      <c r="N19" s="66"/>
      <c r="O19" s="66"/>
      <c r="P19" s="66"/>
      <c r="Q19" s="66"/>
    </row>
    <row r="20" spans="3:17" x14ac:dyDescent="0.3">
      <c r="C20" s="66"/>
      <c r="D20" s="107">
        <v>151</v>
      </c>
      <c r="E20" s="108">
        <v>500</v>
      </c>
      <c r="F20" s="108">
        <v>350</v>
      </c>
      <c r="G20" s="109"/>
      <c r="H20" s="104">
        <f>'Rate Summary'!I25</f>
        <v>0.15748000000000001</v>
      </c>
      <c r="I20" s="110"/>
      <c r="J20" s="111"/>
      <c r="K20" s="111"/>
      <c r="L20" s="66"/>
      <c r="M20" s="66"/>
      <c r="N20" s="66"/>
      <c r="O20" s="66"/>
      <c r="P20" s="66"/>
      <c r="Q20" s="66"/>
    </row>
    <row r="21" spans="3:17" x14ac:dyDescent="0.3">
      <c r="C21" s="66"/>
      <c r="D21" s="107">
        <v>501</v>
      </c>
      <c r="E21" s="108">
        <v>1500</v>
      </c>
      <c r="F21" s="108">
        <v>1000</v>
      </c>
      <c r="G21" s="109"/>
      <c r="H21" s="104">
        <f>'Rate Summary'!I26</f>
        <v>0.2268</v>
      </c>
      <c r="I21" s="110"/>
      <c r="J21" s="111"/>
      <c r="K21" s="111"/>
      <c r="L21" s="66"/>
      <c r="M21" s="66"/>
      <c r="N21" s="66"/>
      <c r="O21" s="66"/>
      <c r="P21" s="66"/>
      <c r="Q21" s="66"/>
    </row>
    <row r="22" spans="3:17" x14ac:dyDescent="0.3">
      <c r="C22" s="66"/>
      <c r="D22" s="107">
        <v>1500</v>
      </c>
      <c r="E22" s="108">
        <v>10000</v>
      </c>
      <c r="F22" s="107"/>
      <c r="G22" s="109"/>
      <c r="H22" s="104">
        <f>'Rate Summary'!I27</f>
        <v>0.25452000000000002</v>
      </c>
      <c r="I22" s="110"/>
      <c r="J22" s="111"/>
      <c r="K22" s="111"/>
      <c r="L22" s="66"/>
      <c r="M22" s="66"/>
      <c r="N22" s="66"/>
      <c r="O22" s="66"/>
      <c r="P22" s="66"/>
      <c r="Q22" s="66"/>
    </row>
    <row r="23" spans="3:17" x14ac:dyDescent="0.3"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3:17" x14ac:dyDescent="0.3"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3:17" x14ac:dyDescent="0.3">
      <c r="C25" s="66"/>
      <c r="D25" s="280" t="s">
        <v>2</v>
      </c>
      <c r="E25" s="281"/>
      <c r="F25" s="281"/>
      <c r="G25" s="284"/>
      <c r="H25" s="284"/>
      <c r="I25" s="284"/>
      <c r="J25" s="284"/>
      <c r="K25" s="284"/>
      <c r="L25" s="284"/>
      <c r="M25" s="284"/>
      <c r="N25" s="66"/>
      <c r="O25" s="66"/>
      <c r="P25" s="66"/>
      <c r="Q25" s="66"/>
    </row>
    <row r="26" spans="3:17" ht="29.4" customHeight="1" x14ac:dyDescent="0.3">
      <c r="C26" s="66"/>
      <c r="D26" s="166"/>
      <c r="E26" s="165"/>
      <c r="F26" s="165"/>
      <c r="G26" s="283" t="s">
        <v>150</v>
      </c>
      <c r="H26" s="283"/>
      <c r="I26" s="283"/>
      <c r="J26" s="283"/>
      <c r="K26" s="277" t="s">
        <v>149</v>
      </c>
      <c r="L26" s="278"/>
      <c r="M26" s="279"/>
      <c r="N26" s="66"/>
      <c r="O26" s="66"/>
      <c r="P26" s="66"/>
      <c r="Q26" s="66"/>
    </row>
    <row r="27" spans="3:17" ht="43.2" x14ac:dyDescent="0.3">
      <c r="C27" s="66"/>
      <c r="D27" s="276" t="s">
        <v>105</v>
      </c>
      <c r="E27" s="276"/>
      <c r="F27" s="276"/>
      <c r="G27" s="100" t="s">
        <v>15</v>
      </c>
      <c r="H27" s="100" t="s">
        <v>106</v>
      </c>
      <c r="I27" s="100" t="s">
        <v>107</v>
      </c>
      <c r="J27" s="100" t="s">
        <v>108</v>
      </c>
      <c r="K27" s="100">
        <v>2024</v>
      </c>
      <c r="L27" s="100">
        <v>2025</v>
      </c>
      <c r="M27" s="100">
        <v>2026</v>
      </c>
      <c r="N27" s="66"/>
      <c r="O27" s="66"/>
      <c r="P27" s="66"/>
      <c r="Q27" s="66"/>
    </row>
    <row r="28" spans="3:17" ht="28.8" x14ac:dyDescent="0.3">
      <c r="C28" s="66"/>
      <c r="D28" s="102" t="s">
        <v>109</v>
      </c>
      <c r="E28" s="102" t="s">
        <v>110</v>
      </c>
      <c r="F28" s="102" t="s">
        <v>111</v>
      </c>
      <c r="G28" s="100" t="s">
        <v>112</v>
      </c>
      <c r="H28" s="100" t="s">
        <v>112</v>
      </c>
      <c r="I28" s="129">
        <v>0.17499999999999999</v>
      </c>
      <c r="J28" s="130">
        <f>J18</f>
        <v>0.45109101248895617</v>
      </c>
      <c r="K28" s="104">
        <f>'CETR Rate'!H8</f>
        <v>2.5984E-2</v>
      </c>
      <c r="L28" s="104">
        <f>'CETR Rate'!I8</f>
        <v>5.5414999999999999E-2</v>
      </c>
      <c r="M28" s="104">
        <f>'CETR Rate'!J8</f>
        <v>5.7716999999999997E-2</v>
      </c>
      <c r="N28" s="66"/>
      <c r="O28" s="66"/>
      <c r="P28" s="66"/>
      <c r="Q28" s="66"/>
    </row>
    <row r="29" spans="3:17" x14ac:dyDescent="0.3">
      <c r="C29" s="66"/>
      <c r="D29" s="107">
        <v>0</v>
      </c>
      <c r="E29" s="108">
        <v>150</v>
      </c>
      <c r="F29" s="108">
        <v>150</v>
      </c>
      <c r="G29" s="109">
        <f>'Rate Summary'!I30</f>
        <v>10</v>
      </c>
      <c r="H29" s="104">
        <f>'Rate Summary'!I34</f>
        <v>0.19400000000000001</v>
      </c>
      <c r="I29" s="110"/>
      <c r="J29" s="111"/>
      <c r="L29" s="66"/>
      <c r="M29" s="66"/>
      <c r="N29" s="66"/>
      <c r="O29" s="66"/>
      <c r="P29" s="66"/>
      <c r="Q29" s="66"/>
    </row>
    <row r="30" spans="3:17" x14ac:dyDescent="0.3">
      <c r="C30" s="66"/>
      <c r="D30" s="107">
        <v>151</v>
      </c>
      <c r="E30" s="108">
        <v>500</v>
      </c>
      <c r="F30" s="108">
        <v>350</v>
      </c>
      <c r="G30" s="109">
        <f>'Rate Summary'!I31</f>
        <v>13</v>
      </c>
      <c r="H30" s="104">
        <f>'Rate Summary'!I35</f>
        <v>0.23699999999999999</v>
      </c>
      <c r="I30" s="110"/>
      <c r="J30" s="111"/>
      <c r="K30" s="111"/>
      <c r="L30" s="66"/>
      <c r="M30" s="66"/>
      <c r="N30" s="66"/>
      <c r="O30" s="66"/>
      <c r="P30" s="66"/>
      <c r="Q30" s="66"/>
    </row>
    <row r="31" spans="3:17" x14ac:dyDescent="0.3">
      <c r="C31" s="66"/>
      <c r="D31" s="107">
        <v>501</v>
      </c>
      <c r="E31" s="108">
        <v>1500</v>
      </c>
      <c r="F31" s="108">
        <v>1000</v>
      </c>
      <c r="G31" s="109">
        <f>'Rate Summary'!I32</f>
        <v>19</v>
      </c>
      <c r="H31" s="104">
        <f>'Rate Summary'!I36</f>
        <v>0.28399999999999997</v>
      </c>
      <c r="I31" s="110"/>
      <c r="J31" s="111"/>
      <c r="K31" s="111"/>
      <c r="L31" s="66"/>
      <c r="M31" s="66"/>
      <c r="N31" s="66"/>
      <c r="O31" s="66"/>
      <c r="P31" s="66"/>
      <c r="Q31" s="66"/>
    </row>
    <row r="32" spans="3:17" x14ac:dyDescent="0.3">
      <c r="C32" s="66"/>
      <c r="D32" s="107">
        <v>1500</v>
      </c>
      <c r="E32" s="108">
        <v>10000</v>
      </c>
      <c r="F32" s="107"/>
      <c r="G32" s="109">
        <f>G31</f>
        <v>19</v>
      </c>
      <c r="H32" s="104">
        <f>'Rate Summary'!I37</f>
        <v>0.32</v>
      </c>
      <c r="I32" s="110"/>
      <c r="J32" s="111"/>
      <c r="K32" s="111"/>
      <c r="L32" s="66"/>
      <c r="M32" s="66"/>
      <c r="N32" s="66"/>
      <c r="O32" s="66"/>
      <c r="P32" s="66"/>
      <c r="Q32" s="66"/>
    </row>
    <row r="33" spans="3:17" x14ac:dyDescent="0.3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3:17" x14ac:dyDescent="0.3">
      <c r="C34" s="66"/>
      <c r="D34" s="66"/>
      <c r="E34" s="285" t="s">
        <v>150</v>
      </c>
      <c r="F34" s="284"/>
      <c r="G34" s="284"/>
      <c r="H34" s="284"/>
      <c r="I34" s="286"/>
      <c r="J34" s="277" t="s">
        <v>149</v>
      </c>
      <c r="K34" s="278"/>
      <c r="L34" s="279"/>
      <c r="M34" s="66"/>
      <c r="N34" s="66"/>
      <c r="O34" s="66"/>
      <c r="P34" s="66"/>
      <c r="Q34" s="66"/>
    </row>
    <row r="35" spans="3:17" ht="43.2" x14ac:dyDescent="0.3">
      <c r="C35" s="66"/>
      <c r="D35" s="68"/>
      <c r="E35" s="117" t="s">
        <v>15</v>
      </c>
      <c r="F35" s="117" t="s">
        <v>106</v>
      </c>
      <c r="G35" s="117" t="s">
        <v>114</v>
      </c>
      <c r="H35" s="100" t="s">
        <v>107</v>
      </c>
      <c r="I35" s="100" t="s">
        <v>108</v>
      </c>
      <c r="J35" s="100">
        <v>2024</v>
      </c>
      <c r="K35" s="100">
        <v>2025</v>
      </c>
      <c r="L35" s="100">
        <v>2026</v>
      </c>
      <c r="M35" s="66"/>
      <c r="N35" s="66"/>
      <c r="O35" s="66"/>
      <c r="P35" s="66"/>
      <c r="Q35" s="66"/>
    </row>
    <row r="36" spans="3:17" x14ac:dyDescent="0.3">
      <c r="C36" s="66"/>
      <c r="D36" s="125" t="s">
        <v>4</v>
      </c>
      <c r="E36" s="118">
        <f>'Rate Summary'!I40</f>
        <v>94.5</v>
      </c>
      <c r="F36" s="118">
        <f>'Rate Summary'!I42</f>
        <v>0.13800000000000001</v>
      </c>
      <c r="G36" s="118">
        <f>'Rate Summary'!I41</f>
        <v>26.41</v>
      </c>
      <c r="H36" s="116">
        <v>0.17499999999999999</v>
      </c>
      <c r="I36" s="104">
        <f>J28</f>
        <v>0.45109101248895617</v>
      </c>
      <c r="J36" s="104">
        <f>'CETR Rate'!H10</f>
        <v>2.5745000000000001E-2</v>
      </c>
      <c r="K36" s="104">
        <f>'CETR Rate'!I10</f>
        <v>5.4906000000000003E-2</v>
      </c>
      <c r="L36" s="104">
        <f>'CETR Rate'!J10</f>
        <v>5.7188000000000003E-2</v>
      </c>
      <c r="M36" s="66"/>
      <c r="N36" s="66"/>
      <c r="O36" s="66"/>
      <c r="P36" s="66"/>
      <c r="Q36" s="66"/>
    </row>
    <row r="37" spans="3:17" x14ac:dyDescent="0.3">
      <c r="C37" s="66"/>
      <c r="D37" s="125" t="s">
        <v>3</v>
      </c>
      <c r="E37" s="118">
        <f>'Rate Summary'!I45</f>
        <v>943.5</v>
      </c>
      <c r="F37" s="118">
        <f>'Rate Summary'!I47</f>
        <v>0.11700000000000001</v>
      </c>
      <c r="G37" s="118">
        <f>'Rate Summary'!I46</f>
        <v>27.65</v>
      </c>
      <c r="H37" s="66"/>
      <c r="I37" s="66"/>
      <c r="J37" s="104">
        <f>'CETR Rate'!H9</f>
        <v>2.5538000000000002E-2</v>
      </c>
      <c r="K37" s="104">
        <f>'CETR Rate'!I9</f>
        <v>5.4463999999999999E-2</v>
      </c>
      <c r="L37" s="104">
        <f>'CETR Rate'!J9</f>
        <v>5.6727E-2</v>
      </c>
      <c r="M37" s="66"/>
      <c r="N37" s="66"/>
      <c r="O37" s="66"/>
      <c r="P37" s="66"/>
      <c r="Q37" s="66"/>
    </row>
    <row r="38" spans="3:17" x14ac:dyDescent="0.3"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3:17" x14ac:dyDescent="0.3">
      <c r="C39" s="66"/>
      <c r="D39" s="131" t="s">
        <v>5</v>
      </c>
      <c r="E39" s="132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3:17" x14ac:dyDescent="0.3">
      <c r="C40" s="66"/>
      <c r="D40" s="124" t="s">
        <v>115</v>
      </c>
      <c r="E40" s="12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3:17" x14ac:dyDescent="0.3">
      <c r="C41" s="66"/>
      <c r="D41" s="120" t="s">
        <v>116</v>
      </c>
      <c r="E41" s="126">
        <f>'Rate Summary'!I50</f>
        <v>300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3:17" x14ac:dyDescent="0.3">
      <c r="C42" s="66"/>
      <c r="D42" s="119" t="s">
        <v>121</v>
      </c>
      <c r="E42" s="12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3:17" x14ac:dyDescent="0.3">
      <c r="C43" s="66"/>
      <c r="D43" s="121" t="s">
        <v>117</v>
      </c>
      <c r="E43" s="126">
        <f>'Rate Summary'!I53</f>
        <v>0.219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3:17" x14ac:dyDescent="0.3">
      <c r="C44" s="66"/>
      <c r="D44" s="121" t="s">
        <v>118</v>
      </c>
      <c r="E44" s="126">
        <f>'Rate Summary'!I54</f>
        <v>6.2E-2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3:17" x14ac:dyDescent="0.3">
      <c r="C45" s="66"/>
      <c r="D45" s="119" t="s">
        <v>122</v>
      </c>
      <c r="E45" s="12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3:17" x14ac:dyDescent="0.3">
      <c r="C46" s="66"/>
      <c r="D46" s="122" t="s">
        <v>119</v>
      </c>
      <c r="E46" s="126">
        <f>'Rate Summary'!I51</f>
        <v>18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3:17" x14ac:dyDescent="0.3">
      <c r="C47" s="66"/>
      <c r="D47" s="123" t="s">
        <v>120</v>
      </c>
      <c r="E47" s="10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3:17" x14ac:dyDescent="0.3">
      <c r="C48" s="66"/>
      <c r="D48" s="121" t="s">
        <v>117</v>
      </c>
      <c r="E48" s="127">
        <v>1.1200000000000001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3:17" x14ac:dyDescent="0.3">
      <c r="C49" s="66"/>
      <c r="D49" s="121" t="s">
        <v>118</v>
      </c>
      <c r="E49" s="127">
        <v>0.92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3:17" x14ac:dyDescent="0.3">
      <c r="C50" s="66"/>
      <c r="D50" s="121" t="s">
        <v>107</v>
      </c>
      <c r="E50" s="209">
        <f>H36</f>
        <v>0.17499999999999999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3:17" x14ac:dyDescent="0.3">
      <c r="C51" s="66"/>
      <c r="D51" s="121"/>
      <c r="E51" s="210">
        <v>2024</v>
      </c>
      <c r="F51" s="210">
        <v>2025</v>
      </c>
      <c r="G51" s="210">
        <v>2026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3:17" x14ac:dyDescent="0.3">
      <c r="C52" s="66"/>
      <c r="D52" s="121" t="s">
        <v>18</v>
      </c>
      <c r="E52" s="128">
        <f>'CETR Rate'!H11</f>
        <v>2.5538000000000002E-2</v>
      </c>
      <c r="F52" s="128">
        <f>'CETR Rate'!I11</f>
        <v>5.4463999999999999E-2</v>
      </c>
      <c r="G52" s="128">
        <f>'CETR Rate'!J11</f>
        <v>5.6727E-2</v>
      </c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3:17" x14ac:dyDescent="0.3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3:17" x14ac:dyDescent="0.3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3:17" x14ac:dyDescent="0.3">
      <c r="C55" s="66"/>
      <c r="D55" s="66"/>
      <c r="E55" s="277" t="s">
        <v>150</v>
      </c>
      <c r="F55" s="278"/>
      <c r="G55" s="279"/>
      <c r="H55" s="277" t="s">
        <v>149</v>
      </c>
      <c r="I55" s="278"/>
      <c r="J55" s="279"/>
      <c r="K55" s="66"/>
      <c r="L55" s="66"/>
      <c r="M55" s="66"/>
      <c r="N55" s="66"/>
      <c r="O55" s="66"/>
      <c r="P55" s="66"/>
      <c r="Q55" s="66"/>
    </row>
    <row r="56" spans="3:17" ht="43.2" x14ac:dyDescent="0.3">
      <c r="C56" s="66"/>
      <c r="D56" s="66"/>
      <c r="E56" s="117" t="s">
        <v>15</v>
      </c>
      <c r="F56" s="100" t="s">
        <v>107</v>
      </c>
      <c r="G56" s="100" t="s">
        <v>108</v>
      </c>
      <c r="H56" s="100">
        <v>2024</v>
      </c>
      <c r="I56" s="100">
        <v>2025</v>
      </c>
      <c r="J56" s="100">
        <v>2026</v>
      </c>
      <c r="K56" s="66"/>
      <c r="L56" s="66"/>
      <c r="M56" s="66"/>
      <c r="N56" s="66"/>
      <c r="O56" s="66"/>
      <c r="P56" s="66"/>
      <c r="Q56" s="66"/>
    </row>
    <row r="57" spans="3:17" x14ac:dyDescent="0.3">
      <c r="C57" s="66"/>
      <c r="D57" s="125" t="s">
        <v>6</v>
      </c>
      <c r="E57" s="118">
        <f>'Rate Summary'!I60</f>
        <v>7.04</v>
      </c>
      <c r="F57" s="116">
        <v>0.17499999999999999</v>
      </c>
      <c r="G57" s="104">
        <f>I36</f>
        <v>0.45109101248895617</v>
      </c>
      <c r="H57" s="104">
        <f>'CETR Rate'!H12</f>
        <v>2.5984E-2</v>
      </c>
      <c r="I57" s="104">
        <f>'CETR Rate'!I12</f>
        <v>5.5414999999999999E-2</v>
      </c>
      <c r="J57" s="104">
        <f>'CETR Rate'!J12</f>
        <v>5.7716999999999997E-2</v>
      </c>
      <c r="K57" s="66"/>
      <c r="L57" s="66"/>
      <c r="M57" s="66"/>
      <c r="N57" s="66"/>
      <c r="O57" s="66"/>
      <c r="P57" s="66"/>
      <c r="Q57" s="66"/>
    </row>
    <row r="58" spans="3:17" x14ac:dyDescent="0.3"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3:17" x14ac:dyDescent="0.3"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</sheetData>
  <mergeCells count="16">
    <mergeCell ref="H55:J55"/>
    <mergeCell ref="E55:G55"/>
    <mergeCell ref="J34:L34"/>
    <mergeCell ref="E34:I34"/>
    <mergeCell ref="D17:F17"/>
    <mergeCell ref="D27:F27"/>
    <mergeCell ref="K26:M26"/>
    <mergeCell ref="D25:M25"/>
    <mergeCell ref="G26:J26"/>
    <mergeCell ref="D7:F7"/>
    <mergeCell ref="K6:M6"/>
    <mergeCell ref="D5:M5"/>
    <mergeCell ref="G6:J6"/>
    <mergeCell ref="K16:M16"/>
    <mergeCell ref="G16:J16"/>
    <mergeCell ref="D15:M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1AF2-C7B9-4C3C-AE93-08C73053B77C}">
  <dimension ref="A1:L83"/>
  <sheetViews>
    <sheetView topLeftCell="E1" workbookViewId="0">
      <selection activeCell="F4" sqref="F4"/>
    </sheetView>
  </sheetViews>
  <sheetFormatPr defaultColWidth="9.109375" defaultRowHeight="14.4" outlineLevelCol="1" x14ac:dyDescent="0.3"/>
  <cols>
    <col min="1" max="1" width="50.6640625" style="15" hidden="1" customWidth="1" outlineLevel="1"/>
    <col min="2" max="2" width="19.88671875" style="16" hidden="1" customWidth="1" outlineLevel="1"/>
    <col min="3" max="3" width="17.88671875" style="16" hidden="1" customWidth="1" outlineLevel="1"/>
    <col min="4" max="4" width="50.88671875" style="16" hidden="1" customWidth="1" outlineLevel="1"/>
    <col min="5" max="5" width="9.21875" customWidth="1" collapsed="1"/>
    <col min="6" max="6" width="37.6640625" bestFit="1" customWidth="1"/>
    <col min="7" max="7" width="26.5546875" style="17" bestFit="1" customWidth="1"/>
    <col min="8" max="8" width="32.33203125" style="53" bestFit="1" customWidth="1"/>
    <col min="9" max="9" width="17.88671875" style="54" customWidth="1"/>
    <col min="10" max="10" width="15.33203125" customWidth="1"/>
    <col min="11" max="11" width="12.33203125" customWidth="1"/>
    <col min="12" max="12" width="14.6640625" customWidth="1"/>
  </cols>
  <sheetData>
    <row r="1" spans="1:12" x14ac:dyDescent="0.3">
      <c r="H1" s="17"/>
      <c r="I1" s="17"/>
    </row>
    <row r="2" spans="1:12" x14ac:dyDescent="0.3">
      <c r="A2" s="15" t="s">
        <v>19</v>
      </c>
      <c r="B2" s="16" t="s">
        <v>20</v>
      </c>
      <c r="C2" s="16" t="s">
        <v>21</v>
      </c>
      <c r="D2" s="16" t="s">
        <v>22</v>
      </c>
      <c r="F2" s="18" t="s">
        <v>23</v>
      </c>
      <c r="G2"/>
      <c r="H2" s="19"/>
      <c r="I2" s="20"/>
    </row>
    <row r="3" spans="1:12" ht="15" thickBot="1" x14ac:dyDescent="0.35">
      <c r="F3" s="18" t="str">
        <f>"SUMMARY OF CURRENT &amp; PROPOSED TARIFFS"&amp;"-"&amp;'CETR Rate'!F2</f>
        <v>SUMMARY OF CURRENT &amp; PROPOSED TARIFFS-Clean Energy Transistion Plan Project 1</v>
      </c>
      <c r="G3"/>
      <c r="H3" s="21"/>
      <c r="I3" s="20"/>
      <c r="J3" s="22"/>
    </row>
    <row r="4" spans="1:12" x14ac:dyDescent="0.3">
      <c r="A4" s="15" t="s">
        <v>24</v>
      </c>
      <c r="F4" s="23"/>
      <c r="G4" s="24"/>
      <c r="H4" s="25"/>
      <c r="I4" s="26"/>
      <c r="J4" s="237"/>
      <c r="K4" s="23"/>
      <c r="L4" s="226"/>
    </row>
    <row r="5" spans="1:12" x14ac:dyDescent="0.3">
      <c r="A5" s="15" t="s">
        <v>24</v>
      </c>
      <c r="F5" s="27"/>
      <c r="G5" s="28"/>
      <c r="H5" s="29"/>
      <c r="I5" s="18"/>
      <c r="J5" s="238"/>
      <c r="K5" s="223"/>
      <c r="L5" s="217"/>
    </row>
    <row r="6" spans="1:12" x14ac:dyDescent="0.3">
      <c r="A6" s="15" t="s">
        <v>24</v>
      </c>
      <c r="F6" s="27"/>
      <c r="G6" s="28"/>
      <c r="H6" s="29"/>
      <c r="I6" s="18"/>
      <c r="J6" s="238"/>
      <c r="K6" s="223"/>
      <c r="L6" s="217"/>
    </row>
    <row r="7" spans="1:12" x14ac:dyDescent="0.3">
      <c r="A7" s="15" t="s">
        <v>24</v>
      </c>
      <c r="F7" s="30" t="s">
        <v>25</v>
      </c>
      <c r="G7" s="31" t="s">
        <v>26</v>
      </c>
      <c r="H7" s="32"/>
      <c r="I7" s="31" t="s">
        <v>28</v>
      </c>
      <c r="J7" s="239" t="s">
        <v>27</v>
      </c>
      <c r="K7" s="30" t="s">
        <v>27</v>
      </c>
      <c r="L7" s="218" t="s">
        <v>27</v>
      </c>
    </row>
    <row r="8" spans="1:12" x14ac:dyDescent="0.3">
      <c r="A8" s="15" t="s">
        <v>24</v>
      </c>
      <c r="F8" s="33"/>
      <c r="G8" s="34"/>
      <c r="H8" s="35"/>
      <c r="I8" s="36" t="s">
        <v>29</v>
      </c>
      <c r="J8" s="36" t="s">
        <v>29</v>
      </c>
      <c r="K8" s="224" t="s">
        <v>29</v>
      </c>
      <c r="L8" s="219" t="s">
        <v>29</v>
      </c>
    </row>
    <row r="9" spans="1:12" x14ac:dyDescent="0.3">
      <c r="A9" s="15" t="s">
        <v>24</v>
      </c>
      <c r="F9" s="27"/>
      <c r="G9" s="28"/>
      <c r="H9" s="35" t="s">
        <v>30</v>
      </c>
      <c r="I9" s="36" t="s">
        <v>31</v>
      </c>
      <c r="J9" s="36" t="s">
        <v>31</v>
      </c>
      <c r="K9" s="224" t="s">
        <v>31</v>
      </c>
      <c r="L9" s="219" t="s">
        <v>31</v>
      </c>
    </row>
    <row r="10" spans="1:12" x14ac:dyDescent="0.3">
      <c r="A10" s="15" t="s">
        <v>24</v>
      </c>
      <c r="F10" s="37"/>
      <c r="G10" s="38"/>
      <c r="H10" s="39"/>
      <c r="I10" s="222" t="s">
        <v>153</v>
      </c>
      <c r="J10" s="220">
        <v>2024</v>
      </c>
      <c r="K10" s="225">
        <v>2025</v>
      </c>
      <c r="L10" s="221">
        <v>2026</v>
      </c>
    </row>
    <row r="11" spans="1:12" x14ac:dyDescent="0.3">
      <c r="A11" s="15" t="s">
        <v>24</v>
      </c>
      <c r="F11" s="57" t="s">
        <v>0</v>
      </c>
      <c r="G11" s="56"/>
      <c r="H11" s="55"/>
      <c r="I11" s="58"/>
      <c r="J11" s="58"/>
      <c r="K11" s="58"/>
      <c r="L11" s="58"/>
    </row>
    <row r="12" spans="1:12" x14ac:dyDescent="0.3">
      <c r="A12" s="15" t="s">
        <v>24</v>
      </c>
      <c r="F12" s="246"/>
      <c r="G12" s="34" t="s">
        <v>32</v>
      </c>
      <c r="H12" s="40" t="s">
        <v>33</v>
      </c>
      <c r="I12" s="43">
        <v>7</v>
      </c>
      <c r="J12" s="43">
        <v>7</v>
      </c>
      <c r="K12" s="43">
        <v>7</v>
      </c>
      <c r="L12" s="43">
        <v>7</v>
      </c>
    </row>
    <row r="13" spans="1:12" x14ac:dyDescent="0.3">
      <c r="A13" s="15" t="s">
        <v>24</v>
      </c>
      <c r="F13" s="246"/>
      <c r="G13" s="34"/>
      <c r="H13" s="40" t="s">
        <v>34</v>
      </c>
      <c r="I13" s="43">
        <v>12</v>
      </c>
      <c r="J13" s="43">
        <v>12</v>
      </c>
      <c r="K13" s="43">
        <v>12</v>
      </c>
      <c r="L13" s="43">
        <v>12</v>
      </c>
    </row>
    <row r="14" spans="1:12" x14ac:dyDescent="0.3">
      <c r="A14" s="15" t="s">
        <v>24</v>
      </c>
      <c r="F14" s="246"/>
      <c r="G14" s="34"/>
      <c r="H14" s="40" t="s">
        <v>35</v>
      </c>
      <c r="I14" s="43">
        <v>17</v>
      </c>
      <c r="J14" s="43">
        <v>17</v>
      </c>
      <c r="K14" s="43">
        <v>17</v>
      </c>
      <c r="L14" s="43">
        <v>17</v>
      </c>
    </row>
    <row r="15" spans="1:12" x14ac:dyDescent="0.3">
      <c r="A15" s="15" t="s">
        <v>36</v>
      </c>
      <c r="D15" s="16" t="s">
        <v>37</v>
      </c>
      <c r="F15" s="246"/>
      <c r="G15" s="34" t="s">
        <v>38</v>
      </c>
      <c r="H15" s="44" t="s">
        <v>39</v>
      </c>
      <c r="I15" s="45" t="s">
        <v>40</v>
      </c>
      <c r="J15" s="45" t="s">
        <v>40</v>
      </c>
      <c r="K15" s="45" t="s">
        <v>40</v>
      </c>
      <c r="L15" s="45" t="s">
        <v>40</v>
      </c>
    </row>
    <row r="16" spans="1:12" x14ac:dyDescent="0.3">
      <c r="A16" s="15" t="s">
        <v>41</v>
      </c>
      <c r="B16" s="16" t="s">
        <v>42</v>
      </c>
      <c r="C16" s="16" t="s">
        <v>43</v>
      </c>
      <c r="D16" s="16" t="s">
        <v>44</v>
      </c>
      <c r="F16" s="246"/>
      <c r="G16" s="34" t="s">
        <v>45</v>
      </c>
      <c r="H16" s="40" t="s">
        <v>46</v>
      </c>
      <c r="I16" s="46">
        <v>0.16</v>
      </c>
      <c r="J16" s="46">
        <v>0.16</v>
      </c>
      <c r="K16" s="46">
        <v>0.16</v>
      </c>
      <c r="L16" s="46">
        <v>0.16</v>
      </c>
    </row>
    <row r="17" spans="1:12" x14ac:dyDescent="0.3">
      <c r="A17" s="15" t="s">
        <v>47</v>
      </c>
      <c r="B17" s="16" t="s">
        <v>42</v>
      </c>
      <c r="C17" s="16" t="s">
        <v>43</v>
      </c>
      <c r="D17" s="16" t="s">
        <v>48</v>
      </c>
      <c r="F17" s="246"/>
      <c r="G17" s="34"/>
      <c r="H17" s="40" t="s">
        <v>49</v>
      </c>
      <c r="I17" s="46">
        <v>0.19600000000000001</v>
      </c>
      <c r="J17" s="46">
        <v>0.19600000000000001</v>
      </c>
      <c r="K17" s="46">
        <v>0.19600000000000001</v>
      </c>
      <c r="L17" s="46">
        <v>0.19600000000000001</v>
      </c>
    </row>
    <row r="18" spans="1:12" x14ac:dyDescent="0.3">
      <c r="A18" s="15" t="s">
        <v>50</v>
      </c>
      <c r="B18" s="16" t="s">
        <v>42</v>
      </c>
      <c r="C18" s="16" t="s">
        <v>43</v>
      </c>
      <c r="D18" s="16" t="s">
        <v>51</v>
      </c>
      <c r="F18" s="246"/>
      <c r="G18" s="34"/>
      <c r="H18" s="40" t="s">
        <v>52</v>
      </c>
      <c r="I18" s="46">
        <v>0.22500000000000001</v>
      </c>
      <c r="J18" s="46">
        <v>0.22500000000000001</v>
      </c>
      <c r="K18" s="46">
        <v>0.22500000000000001</v>
      </c>
      <c r="L18" s="46">
        <v>0.22500000000000001</v>
      </c>
    </row>
    <row r="19" spans="1:12" x14ac:dyDescent="0.3">
      <c r="A19" s="15" t="s">
        <v>53</v>
      </c>
      <c r="B19" s="16" t="s">
        <v>42</v>
      </c>
      <c r="C19" s="16" t="s">
        <v>43</v>
      </c>
      <c r="D19" s="16" t="s">
        <v>54</v>
      </c>
      <c r="F19" s="246"/>
      <c r="G19" s="42"/>
      <c r="H19" s="40" t="s">
        <v>55</v>
      </c>
      <c r="I19" s="46">
        <v>0.254</v>
      </c>
      <c r="J19" s="46">
        <v>0.254</v>
      </c>
      <c r="K19" s="46">
        <v>0.254</v>
      </c>
      <c r="L19" s="46">
        <v>0.254</v>
      </c>
    </row>
    <row r="20" spans="1:12" x14ac:dyDescent="0.3">
      <c r="F20" s="47"/>
      <c r="G20" s="48" t="s">
        <v>94</v>
      </c>
      <c r="H20" s="61" t="s">
        <v>83</v>
      </c>
      <c r="I20" s="62" t="s">
        <v>40</v>
      </c>
      <c r="J20" s="63">
        <f>'CETR Rate'!H6</f>
        <v>2.5984E-2</v>
      </c>
      <c r="K20" s="63">
        <f>'CETR Rate'!I6</f>
        <v>5.5414999999999999E-2</v>
      </c>
      <c r="L20" s="63">
        <f>'CETR Rate'!J6</f>
        <v>5.7716999999999997E-2</v>
      </c>
    </row>
    <row r="21" spans="1:12" x14ac:dyDescent="0.3">
      <c r="A21" s="15" t="s">
        <v>24</v>
      </c>
      <c r="F21" s="27" t="s">
        <v>56</v>
      </c>
      <c r="G21" s="42"/>
      <c r="H21" s="40"/>
      <c r="I21" s="41"/>
      <c r="J21" s="41"/>
      <c r="K21" s="41"/>
      <c r="L21" s="41"/>
    </row>
    <row r="22" spans="1:12" x14ac:dyDescent="0.3">
      <c r="A22" s="15" t="s">
        <v>24</v>
      </c>
      <c r="F22" s="246"/>
      <c r="G22" s="34" t="s">
        <v>32</v>
      </c>
      <c r="H22" s="44" t="s">
        <v>39</v>
      </c>
      <c r="I22" s="45" t="s">
        <v>40</v>
      </c>
      <c r="J22" s="45" t="s">
        <v>40</v>
      </c>
      <c r="K22" s="45" t="s">
        <v>40</v>
      </c>
      <c r="L22" s="45" t="s">
        <v>40</v>
      </c>
    </row>
    <row r="23" spans="1:12" x14ac:dyDescent="0.3">
      <c r="A23" s="15" t="s">
        <v>57</v>
      </c>
      <c r="D23" s="16" t="s">
        <v>58</v>
      </c>
      <c r="F23" s="246"/>
      <c r="G23" s="34" t="s">
        <v>38</v>
      </c>
      <c r="H23" s="44" t="s">
        <v>39</v>
      </c>
      <c r="I23" s="45" t="s">
        <v>40</v>
      </c>
      <c r="J23" s="45" t="s">
        <v>40</v>
      </c>
      <c r="K23" s="45" t="s">
        <v>40</v>
      </c>
      <c r="L23" s="45" t="s">
        <v>40</v>
      </c>
    </row>
    <row r="24" spans="1:12" x14ac:dyDescent="0.3">
      <c r="A24" s="15" t="s">
        <v>59</v>
      </c>
      <c r="B24" s="16" t="s">
        <v>56</v>
      </c>
      <c r="C24" s="16" t="s">
        <v>43</v>
      </c>
      <c r="D24" s="16" t="s">
        <v>44</v>
      </c>
      <c r="F24" s="246"/>
      <c r="G24" s="34" t="s">
        <v>45</v>
      </c>
      <c r="H24" s="44" t="s">
        <v>46</v>
      </c>
      <c r="I24" s="41">
        <v>0.13341789607515658</v>
      </c>
      <c r="J24" s="41">
        <v>0.13341789607515658</v>
      </c>
      <c r="K24" s="41">
        <v>0.13341789607515658</v>
      </c>
      <c r="L24" s="41">
        <v>0.13341789607515658</v>
      </c>
    </row>
    <row r="25" spans="1:12" x14ac:dyDescent="0.3">
      <c r="A25" s="15" t="s">
        <v>60</v>
      </c>
      <c r="B25" s="16" t="s">
        <v>56</v>
      </c>
      <c r="C25" s="16" t="s">
        <v>43</v>
      </c>
      <c r="D25" s="16" t="s">
        <v>48</v>
      </c>
      <c r="F25" s="246"/>
      <c r="G25" s="34"/>
      <c r="H25" s="44" t="s">
        <v>49</v>
      </c>
      <c r="I25" s="41">
        <v>0.15748000000000001</v>
      </c>
      <c r="J25" s="41">
        <v>0.15748000000000001</v>
      </c>
      <c r="K25" s="41">
        <v>0.15748000000000001</v>
      </c>
      <c r="L25" s="41">
        <v>0.15748000000000001</v>
      </c>
    </row>
    <row r="26" spans="1:12" x14ac:dyDescent="0.3">
      <c r="A26" s="15" t="s">
        <v>61</v>
      </c>
      <c r="B26" s="16" t="s">
        <v>56</v>
      </c>
      <c r="C26" s="16" t="s">
        <v>43</v>
      </c>
      <c r="D26" s="16" t="s">
        <v>51</v>
      </c>
      <c r="F26" s="246"/>
      <c r="G26" s="34"/>
      <c r="H26" s="44" t="s">
        <v>52</v>
      </c>
      <c r="I26" s="41">
        <v>0.2268</v>
      </c>
      <c r="J26" s="41">
        <v>0.2268</v>
      </c>
      <c r="K26" s="41">
        <v>0.2268</v>
      </c>
      <c r="L26" s="41">
        <v>0.2268</v>
      </c>
    </row>
    <row r="27" spans="1:12" x14ac:dyDescent="0.3">
      <c r="F27" s="246"/>
      <c r="G27" s="34"/>
      <c r="H27" s="44" t="s">
        <v>63</v>
      </c>
      <c r="I27" s="41">
        <v>0.25452000000000002</v>
      </c>
      <c r="J27" s="41">
        <v>0.25452000000000002</v>
      </c>
      <c r="K27" s="41">
        <v>0.25452000000000002</v>
      </c>
      <c r="L27" s="41">
        <v>0.25452000000000002</v>
      </c>
    </row>
    <row r="28" spans="1:12" x14ac:dyDescent="0.3">
      <c r="A28" s="15" t="s">
        <v>62</v>
      </c>
      <c r="B28" s="16" t="s">
        <v>56</v>
      </c>
      <c r="C28" s="16" t="s">
        <v>43</v>
      </c>
      <c r="D28" s="16" t="s">
        <v>54</v>
      </c>
      <c r="F28" s="249"/>
      <c r="G28" s="48" t="s">
        <v>94</v>
      </c>
      <c r="H28" s="61" t="s">
        <v>83</v>
      </c>
      <c r="I28" s="62" t="s">
        <v>40</v>
      </c>
      <c r="J28" s="63">
        <f>'CETR Rate'!H7</f>
        <v>2.5984E-2</v>
      </c>
      <c r="K28" s="63">
        <f>'CETR Rate'!I7</f>
        <v>5.5414999999999999E-2</v>
      </c>
      <c r="L28" s="63">
        <f>'CETR Rate'!J7</f>
        <v>5.7716999999999997E-2</v>
      </c>
    </row>
    <row r="29" spans="1:12" x14ac:dyDescent="0.3">
      <c r="A29" s="15" t="s">
        <v>24</v>
      </c>
      <c r="F29" s="27" t="s">
        <v>2</v>
      </c>
      <c r="G29" s="34"/>
      <c r="H29" s="40"/>
      <c r="I29" s="41"/>
      <c r="J29" s="41"/>
      <c r="K29" s="41"/>
      <c r="L29" s="41"/>
    </row>
    <row r="30" spans="1:12" x14ac:dyDescent="0.3">
      <c r="A30" s="15" t="s">
        <v>24</v>
      </c>
      <c r="F30" s="246"/>
      <c r="G30" s="34" t="s">
        <v>32</v>
      </c>
      <c r="H30" s="40" t="s">
        <v>64</v>
      </c>
      <c r="I30" s="43">
        <v>10</v>
      </c>
      <c r="J30" s="43">
        <v>10</v>
      </c>
      <c r="K30" s="43">
        <v>10</v>
      </c>
      <c r="L30" s="43">
        <v>10</v>
      </c>
    </row>
    <row r="31" spans="1:12" x14ac:dyDescent="0.3">
      <c r="A31" s="15" t="s">
        <v>24</v>
      </c>
      <c r="F31" s="246"/>
      <c r="G31" s="34"/>
      <c r="H31" s="40" t="s">
        <v>65</v>
      </c>
      <c r="I31" s="43">
        <v>13</v>
      </c>
      <c r="J31" s="43">
        <v>13</v>
      </c>
      <c r="K31" s="43">
        <v>13</v>
      </c>
      <c r="L31" s="43">
        <v>13</v>
      </c>
    </row>
    <row r="32" spans="1:12" x14ac:dyDescent="0.3">
      <c r="A32" s="15" t="s">
        <v>24</v>
      </c>
      <c r="F32" s="246"/>
      <c r="G32" s="34"/>
      <c r="H32" s="40" t="s">
        <v>35</v>
      </c>
      <c r="I32" s="43">
        <v>19</v>
      </c>
      <c r="J32" s="43">
        <v>19</v>
      </c>
      <c r="K32" s="43">
        <v>19</v>
      </c>
      <c r="L32" s="43">
        <v>19</v>
      </c>
    </row>
    <row r="33" spans="1:12" x14ac:dyDescent="0.3">
      <c r="A33" s="15" t="s">
        <v>66</v>
      </c>
      <c r="D33" s="16" t="s">
        <v>67</v>
      </c>
      <c r="F33" s="246"/>
      <c r="G33" s="34" t="s">
        <v>38</v>
      </c>
      <c r="H33" s="44" t="s">
        <v>39</v>
      </c>
      <c r="I33" s="45" t="s">
        <v>40</v>
      </c>
      <c r="J33" s="45" t="s">
        <v>40</v>
      </c>
      <c r="K33" s="45" t="s">
        <v>40</v>
      </c>
      <c r="L33" s="45" t="s">
        <v>40</v>
      </c>
    </row>
    <row r="34" spans="1:12" x14ac:dyDescent="0.3">
      <c r="A34" s="15" t="s">
        <v>68</v>
      </c>
      <c r="B34" s="16" t="s">
        <v>2</v>
      </c>
      <c r="C34" s="16" t="s">
        <v>43</v>
      </c>
      <c r="D34" s="16" t="s">
        <v>69</v>
      </c>
      <c r="F34" s="246"/>
      <c r="G34" s="34" t="s">
        <v>45</v>
      </c>
      <c r="H34" s="40" t="s">
        <v>70</v>
      </c>
      <c r="I34" s="41">
        <v>0.19400000000000001</v>
      </c>
      <c r="J34" s="41">
        <v>0.19400000000000001</v>
      </c>
      <c r="K34" s="41">
        <v>0.19400000000000001</v>
      </c>
      <c r="L34" s="41">
        <v>0.19400000000000001</v>
      </c>
    </row>
    <row r="35" spans="1:12" x14ac:dyDescent="0.3">
      <c r="A35" s="15" t="s">
        <v>71</v>
      </c>
      <c r="B35" s="16" t="s">
        <v>2</v>
      </c>
      <c r="C35" s="16" t="s">
        <v>43</v>
      </c>
      <c r="D35" s="16" t="s">
        <v>72</v>
      </c>
      <c r="F35" s="246"/>
      <c r="G35" s="34"/>
      <c r="H35" s="40" t="s">
        <v>73</v>
      </c>
      <c r="I35" s="41">
        <v>0.23699999999999999</v>
      </c>
      <c r="J35" s="41">
        <v>0.23699999999999999</v>
      </c>
      <c r="K35" s="41">
        <v>0.23699999999999999</v>
      </c>
      <c r="L35" s="41">
        <v>0.23699999999999999</v>
      </c>
    </row>
    <row r="36" spans="1:12" x14ac:dyDescent="0.3">
      <c r="A36" s="15" t="s">
        <v>74</v>
      </c>
      <c r="B36" s="16" t="s">
        <v>2</v>
      </c>
      <c r="C36" s="16" t="s">
        <v>43</v>
      </c>
      <c r="D36" s="16" t="s">
        <v>51</v>
      </c>
      <c r="F36" s="246"/>
      <c r="G36" s="34"/>
      <c r="H36" s="40" t="s">
        <v>52</v>
      </c>
      <c r="I36" s="41">
        <v>0.28399999999999997</v>
      </c>
      <c r="J36" s="41">
        <v>0.28399999999999997</v>
      </c>
      <c r="K36" s="41">
        <v>0.28399999999999997</v>
      </c>
      <c r="L36" s="41">
        <v>0.28399999999999997</v>
      </c>
    </row>
    <row r="37" spans="1:12" x14ac:dyDescent="0.3">
      <c r="F37" s="246"/>
      <c r="G37" s="34"/>
      <c r="H37" s="40" t="s">
        <v>63</v>
      </c>
      <c r="I37" s="41">
        <v>0.32</v>
      </c>
      <c r="J37" s="41">
        <v>0.32</v>
      </c>
      <c r="K37" s="41">
        <v>0.32</v>
      </c>
      <c r="L37" s="41">
        <v>0.32</v>
      </c>
    </row>
    <row r="38" spans="1:12" x14ac:dyDescent="0.3">
      <c r="A38" s="15" t="s">
        <v>75</v>
      </c>
      <c r="B38" s="16" t="s">
        <v>2</v>
      </c>
      <c r="C38" s="16" t="s">
        <v>43</v>
      </c>
      <c r="D38" s="16" t="s">
        <v>54</v>
      </c>
      <c r="F38" s="249"/>
      <c r="G38" s="48" t="s">
        <v>94</v>
      </c>
      <c r="H38" s="61" t="s">
        <v>83</v>
      </c>
      <c r="I38" s="62" t="s">
        <v>40</v>
      </c>
      <c r="J38" s="63">
        <f>'CETR Rate'!H8</f>
        <v>2.5984E-2</v>
      </c>
      <c r="K38" s="63">
        <f>'CETR Rate'!I8</f>
        <v>5.5414999999999999E-2</v>
      </c>
      <c r="L38" s="63">
        <f>'CETR Rate'!J8</f>
        <v>5.7716999999999997E-2</v>
      </c>
    </row>
    <row r="39" spans="1:12" x14ac:dyDescent="0.3">
      <c r="A39" s="15" t="s">
        <v>24</v>
      </c>
      <c r="F39" s="27" t="s">
        <v>4</v>
      </c>
      <c r="G39" s="34"/>
      <c r="H39" s="40"/>
      <c r="I39" s="41"/>
      <c r="J39" s="41"/>
      <c r="K39" s="41"/>
      <c r="L39" s="41"/>
    </row>
    <row r="40" spans="1:12" x14ac:dyDescent="0.3">
      <c r="A40" s="15" t="s">
        <v>24</v>
      </c>
      <c r="F40" s="246"/>
      <c r="G40" s="34" t="s">
        <v>32</v>
      </c>
      <c r="H40" s="44" t="s">
        <v>76</v>
      </c>
      <c r="I40" s="43">
        <v>94.5</v>
      </c>
      <c r="J40" s="43">
        <v>94.5</v>
      </c>
      <c r="K40" s="43">
        <v>94.5</v>
      </c>
      <c r="L40" s="43">
        <v>94.5</v>
      </c>
    </row>
    <row r="41" spans="1:12" x14ac:dyDescent="0.3">
      <c r="A41" s="15" t="s">
        <v>77</v>
      </c>
      <c r="D41" s="16" t="s">
        <v>78</v>
      </c>
      <c r="F41" s="246"/>
      <c r="G41" s="34" t="s">
        <v>38</v>
      </c>
      <c r="H41" s="44" t="s">
        <v>79</v>
      </c>
      <c r="I41" s="43">
        <v>26.41</v>
      </c>
      <c r="J41" s="43">
        <v>26.41</v>
      </c>
      <c r="K41" s="43">
        <v>26.41</v>
      </c>
      <c r="L41" s="43">
        <v>26.41</v>
      </c>
    </row>
    <row r="42" spans="1:12" x14ac:dyDescent="0.3">
      <c r="F42" s="246"/>
      <c r="G42" s="34" t="s">
        <v>45</v>
      </c>
      <c r="H42" s="44" t="s">
        <v>83</v>
      </c>
      <c r="I42" s="59">
        <v>0.13800000000000001</v>
      </c>
      <c r="J42" s="59">
        <v>0.13800000000000001</v>
      </c>
      <c r="K42" s="59">
        <v>0.13800000000000001</v>
      </c>
      <c r="L42" s="59">
        <v>0.13800000000000001</v>
      </c>
    </row>
    <row r="43" spans="1:12" x14ac:dyDescent="0.3">
      <c r="A43" s="15" t="s">
        <v>80</v>
      </c>
      <c r="B43" s="16" t="s">
        <v>81</v>
      </c>
      <c r="C43" s="16" t="s">
        <v>43</v>
      </c>
      <c r="D43" s="16" t="s">
        <v>82</v>
      </c>
      <c r="F43" s="249"/>
      <c r="G43" s="48" t="s">
        <v>94</v>
      </c>
      <c r="H43" s="61" t="s">
        <v>83</v>
      </c>
      <c r="I43" s="62" t="s">
        <v>40</v>
      </c>
      <c r="J43" s="63">
        <f>'CETR Rate'!H10</f>
        <v>2.5745000000000001E-2</v>
      </c>
      <c r="K43" s="63">
        <f>'CETR Rate'!I10</f>
        <v>5.4906000000000003E-2</v>
      </c>
      <c r="L43" s="63">
        <f>'CETR Rate'!J10</f>
        <v>5.7188000000000003E-2</v>
      </c>
    </row>
    <row r="44" spans="1:12" x14ac:dyDescent="0.3">
      <c r="A44" s="15" t="s">
        <v>24</v>
      </c>
      <c r="F44" s="27" t="s">
        <v>3</v>
      </c>
      <c r="G44" s="34"/>
      <c r="H44" s="40"/>
      <c r="I44" s="41"/>
      <c r="J44" s="41"/>
      <c r="K44" s="41"/>
      <c r="L44" s="41"/>
    </row>
    <row r="45" spans="1:12" x14ac:dyDescent="0.3">
      <c r="A45" s="15" t="s">
        <v>24</v>
      </c>
      <c r="F45" s="246"/>
      <c r="G45" s="34" t="s">
        <v>32</v>
      </c>
      <c r="H45" s="44" t="s">
        <v>76</v>
      </c>
      <c r="I45" s="49">
        <v>943.5</v>
      </c>
      <c r="J45" s="49">
        <v>943.5</v>
      </c>
      <c r="K45" s="49">
        <v>943.5</v>
      </c>
      <c r="L45" s="49">
        <v>943.5</v>
      </c>
    </row>
    <row r="46" spans="1:12" x14ac:dyDescent="0.3">
      <c r="A46" s="15" t="s">
        <v>84</v>
      </c>
      <c r="D46" s="16" t="s">
        <v>85</v>
      </c>
      <c r="F46" s="246"/>
      <c r="G46" s="34" t="s">
        <v>38</v>
      </c>
      <c r="H46" s="44" t="s">
        <v>79</v>
      </c>
      <c r="I46" s="43">
        <v>27.65</v>
      </c>
      <c r="J46" s="43">
        <v>27.65</v>
      </c>
      <c r="K46" s="43">
        <v>27.65</v>
      </c>
      <c r="L46" s="43">
        <v>27.65</v>
      </c>
    </row>
    <row r="47" spans="1:12" x14ac:dyDescent="0.3">
      <c r="F47" s="246"/>
      <c r="G47" s="34" t="s">
        <v>45</v>
      </c>
      <c r="H47" s="44" t="s">
        <v>83</v>
      </c>
      <c r="I47" s="59">
        <v>0.11700000000000001</v>
      </c>
      <c r="J47" s="59">
        <v>0.11700000000000001</v>
      </c>
      <c r="K47" s="59">
        <v>0.11700000000000001</v>
      </c>
      <c r="L47" s="59">
        <v>0.11700000000000001</v>
      </c>
    </row>
    <row r="48" spans="1:12" x14ac:dyDescent="0.3">
      <c r="A48" s="15" t="s">
        <v>86</v>
      </c>
      <c r="B48" s="16" t="s">
        <v>3</v>
      </c>
      <c r="C48" s="16" t="s">
        <v>43</v>
      </c>
      <c r="D48" s="16" t="s">
        <v>82</v>
      </c>
      <c r="F48" s="249"/>
      <c r="G48" s="48" t="s">
        <v>94</v>
      </c>
      <c r="H48" s="61" t="s">
        <v>83</v>
      </c>
      <c r="I48" s="62" t="s">
        <v>40</v>
      </c>
      <c r="J48" s="63">
        <f>'CETR Rate'!H9</f>
        <v>2.5538000000000002E-2</v>
      </c>
      <c r="K48" s="63">
        <f>'CETR Rate'!I9</f>
        <v>5.4463999999999999E-2</v>
      </c>
      <c r="L48" s="63">
        <f>'CETR Rate'!J9</f>
        <v>5.6727E-2</v>
      </c>
    </row>
    <row r="49" spans="1:12" x14ac:dyDescent="0.3">
      <c r="A49" s="15" t="s">
        <v>24</v>
      </c>
      <c r="F49" s="50" t="s">
        <v>87</v>
      </c>
      <c r="G49" s="34"/>
      <c r="H49" s="64"/>
      <c r="I49" s="65"/>
      <c r="J49" s="65"/>
      <c r="K49" s="65"/>
      <c r="L49" s="65"/>
    </row>
    <row r="50" spans="1:12" x14ac:dyDescent="0.3">
      <c r="A50" s="15" t="s">
        <v>24</v>
      </c>
      <c r="F50" s="246"/>
      <c r="G50" s="34" t="s">
        <v>32</v>
      </c>
      <c r="H50" s="44" t="s">
        <v>76</v>
      </c>
      <c r="I50" s="49">
        <v>300</v>
      </c>
      <c r="J50" s="49">
        <v>300</v>
      </c>
      <c r="K50" s="49">
        <v>300</v>
      </c>
      <c r="L50" s="49">
        <v>300</v>
      </c>
    </row>
    <row r="51" spans="1:12" x14ac:dyDescent="0.3">
      <c r="A51" s="15" t="s">
        <v>24</v>
      </c>
      <c r="F51" s="246"/>
      <c r="G51" s="34" t="s">
        <v>38</v>
      </c>
      <c r="H51" s="44" t="s">
        <v>79</v>
      </c>
      <c r="I51" s="43">
        <v>18</v>
      </c>
      <c r="J51" s="43">
        <v>18</v>
      </c>
      <c r="K51" s="43">
        <v>18</v>
      </c>
      <c r="L51" s="43">
        <v>18</v>
      </c>
    </row>
    <row r="52" spans="1:12" x14ac:dyDescent="0.3">
      <c r="A52" s="15" t="s">
        <v>24</v>
      </c>
      <c r="F52" s="246"/>
      <c r="G52" s="34"/>
      <c r="H52" s="44"/>
      <c r="I52" s="43"/>
      <c r="J52" s="43"/>
      <c r="K52" s="43"/>
      <c r="L52" s="43"/>
    </row>
    <row r="53" spans="1:12" x14ac:dyDescent="0.3">
      <c r="A53" s="15" t="s">
        <v>24</v>
      </c>
      <c r="F53" s="246"/>
      <c r="G53" s="34" t="s">
        <v>45</v>
      </c>
      <c r="H53" s="44" t="s">
        <v>88</v>
      </c>
      <c r="I53" s="41">
        <v>0.219</v>
      </c>
      <c r="J53" s="41">
        <v>0.219</v>
      </c>
      <c r="K53" s="41">
        <v>0.219</v>
      </c>
      <c r="L53" s="41">
        <v>0.219</v>
      </c>
    </row>
    <row r="54" spans="1:12" x14ac:dyDescent="0.3">
      <c r="F54" s="246"/>
      <c r="G54" s="34"/>
      <c r="H54" s="44" t="s">
        <v>89</v>
      </c>
      <c r="I54" s="41">
        <v>6.2E-2</v>
      </c>
      <c r="J54" s="41">
        <v>6.2E-2</v>
      </c>
      <c r="K54" s="41">
        <v>6.2E-2</v>
      </c>
      <c r="L54" s="41">
        <v>6.2E-2</v>
      </c>
    </row>
    <row r="55" spans="1:12" x14ac:dyDescent="0.3">
      <c r="A55" s="15" t="s">
        <v>24</v>
      </c>
      <c r="F55" s="249"/>
      <c r="G55" s="48" t="s">
        <v>94</v>
      </c>
      <c r="H55" s="61" t="s">
        <v>83</v>
      </c>
      <c r="I55" s="62" t="s">
        <v>40</v>
      </c>
      <c r="J55" s="63">
        <f>'CETR Rate'!H11</f>
        <v>2.5538000000000002E-2</v>
      </c>
      <c r="K55" s="63">
        <f>'CETR Rate'!I11</f>
        <v>5.4463999999999999E-2</v>
      </c>
      <c r="L55" s="63">
        <f>'CETR Rate'!J11</f>
        <v>5.6727E-2</v>
      </c>
    </row>
    <row r="56" spans="1:12" x14ac:dyDescent="0.3">
      <c r="A56" s="15" t="s">
        <v>24</v>
      </c>
      <c r="F56" s="27" t="s">
        <v>90</v>
      </c>
      <c r="G56" s="34" t="s">
        <v>15</v>
      </c>
      <c r="H56" s="40"/>
      <c r="I56" s="60"/>
      <c r="J56" s="231"/>
      <c r="K56" s="230"/>
      <c r="L56" s="231"/>
    </row>
    <row r="57" spans="1:12" x14ac:dyDescent="0.3">
      <c r="A57" s="15" t="s">
        <v>24</v>
      </c>
      <c r="F57" s="246"/>
      <c r="G57" s="34"/>
      <c r="H57" s="44" t="s">
        <v>91</v>
      </c>
      <c r="I57" s="51" t="s">
        <v>40</v>
      </c>
      <c r="J57" s="232" t="s">
        <v>40</v>
      </c>
      <c r="K57" s="228" t="s">
        <v>40</v>
      </c>
      <c r="L57" s="232" t="s">
        <v>40</v>
      </c>
    </row>
    <row r="58" spans="1:12" x14ac:dyDescent="0.3">
      <c r="A58" s="15" t="s">
        <v>24</v>
      </c>
      <c r="F58" s="247"/>
      <c r="G58" s="34"/>
      <c r="H58" s="44" t="s">
        <v>92</v>
      </c>
      <c r="I58" s="51" t="s">
        <v>40</v>
      </c>
      <c r="J58" s="232" t="s">
        <v>40</v>
      </c>
      <c r="K58" s="228" t="s">
        <v>40</v>
      </c>
      <c r="L58" s="232" t="s">
        <v>40</v>
      </c>
    </row>
    <row r="59" spans="1:12" x14ac:dyDescent="0.3">
      <c r="A59" s="15" t="s">
        <v>24</v>
      </c>
      <c r="F59" s="247"/>
      <c r="G59" s="34"/>
      <c r="H59" s="44" t="s">
        <v>93</v>
      </c>
      <c r="I59" s="51" t="s">
        <v>40</v>
      </c>
      <c r="J59" s="232" t="s">
        <v>40</v>
      </c>
      <c r="K59" s="228" t="s">
        <v>40</v>
      </c>
      <c r="L59" s="232" t="s">
        <v>40</v>
      </c>
    </row>
    <row r="60" spans="1:12" x14ac:dyDescent="0.3">
      <c r="F60" s="247"/>
      <c r="G60" s="34"/>
      <c r="H60" s="44" t="s">
        <v>76</v>
      </c>
      <c r="I60" s="52">
        <v>7.04</v>
      </c>
      <c r="J60" s="233">
        <v>7.04</v>
      </c>
      <c r="K60" s="229">
        <v>8.0399999999999991</v>
      </c>
      <c r="L60" s="233">
        <v>9.0399999999999991</v>
      </c>
    </row>
    <row r="61" spans="1:12" x14ac:dyDescent="0.3">
      <c r="F61" s="247"/>
      <c r="G61" s="34" t="s">
        <v>38</v>
      </c>
      <c r="H61" s="44" t="s">
        <v>39</v>
      </c>
      <c r="I61" s="51" t="s">
        <v>40</v>
      </c>
      <c r="J61" s="232" t="s">
        <v>40</v>
      </c>
      <c r="K61" s="228" t="s">
        <v>40</v>
      </c>
      <c r="L61" s="232" t="s">
        <v>40</v>
      </c>
    </row>
    <row r="62" spans="1:12" x14ac:dyDescent="0.3">
      <c r="F62" s="247"/>
      <c r="G62" s="34" t="s">
        <v>45</v>
      </c>
      <c r="H62" s="44" t="s">
        <v>83</v>
      </c>
      <c r="I62" s="60">
        <v>0</v>
      </c>
      <c r="J62" s="234">
        <v>0</v>
      </c>
      <c r="K62" s="230">
        <v>1</v>
      </c>
      <c r="L62" s="234">
        <v>2</v>
      </c>
    </row>
    <row r="63" spans="1:12" ht="15" thickBot="1" x14ac:dyDescent="0.35">
      <c r="F63" s="248"/>
      <c r="G63" s="48" t="s">
        <v>94</v>
      </c>
      <c r="H63" s="61" t="s">
        <v>83</v>
      </c>
      <c r="I63" s="227" t="s">
        <v>40</v>
      </c>
      <c r="J63" s="235">
        <f>'CETR Rate'!H12</f>
        <v>2.5984E-2</v>
      </c>
      <c r="K63" s="236">
        <f>'CETR Rate'!I12</f>
        <v>5.5414999999999999E-2</v>
      </c>
      <c r="L63" s="235">
        <f>'CETR Rate'!J12</f>
        <v>5.7716999999999997E-2</v>
      </c>
    </row>
    <row r="64" spans="1:12" x14ac:dyDescent="0.3">
      <c r="A64" s="15" t="s">
        <v>24</v>
      </c>
      <c r="G64"/>
      <c r="H64" s="21"/>
      <c r="I64" s="20"/>
      <c r="L64" s="216"/>
    </row>
    <row r="65" spans="1:1" x14ac:dyDescent="0.3">
      <c r="A65" s="15" t="s">
        <v>24</v>
      </c>
    </row>
    <row r="66" spans="1:1" x14ac:dyDescent="0.3">
      <c r="A66" s="15" t="s">
        <v>24</v>
      </c>
    </row>
    <row r="67" spans="1:1" x14ac:dyDescent="0.3">
      <c r="A67" s="15" t="s">
        <v>24</v>
      </c>
    </row>
    <row r="68" spans="1:1" x14ac:dyDescent="0.3">
      <c r="A68" s="15" t="s">
        <v>24</v>
      </c>
    </row>
    <row r="69" spans="1:1" x14ac:dyDescent="0.3">
      <c r="A69" s="15" t="s">
        <v>24</v>
      </c>
    </row>
    <row r="70" spans="1:1" x14ac:dyDescent="0.3">
      <c r="A70" s="15" t="s">
        <v>24</v>
      </c>
    </row>
    <row r="71" spans="1:1" x14ac:dyDescent="0.3">
      <c r="A71" s="15" t="s">
        <v>24</v>
      </c>
    </row>
    <row r="72" spans="1:1" x14ac:dyDescent="0.3">
      <c r="A72" s="15" t="s">
        <v>24</v>
      </c>
    </row>
    <row r="73" spans="1:1" x14ac:dyDescent="0.3">
      <c r="A73" s="15" t="s">
        <v>24</v>
      </c>
    </row>
    <row r="74" spans="1:1" x14ac:dyDescent="0.3">
      <c r="A74" s="15" t="s">
        <v>24</v>
      </c>
    </row>
    <row r="75" spans="1:1" x14ac:dyDescent="0.3">
      <c r="A75" s="15" t="s">
        <v>24</v>
      </c>
    </row>
    <row r="76" spans="1:1" x14ac:dyDescent="0.3">
      <c r="A76" s="15" t="s">
        <v>24</v>
      </c>
    </row>
    <row r="77" spans="1:1" x14ac:dyDescent="0.3">
      <c r="A77" s="15" t="s">
        <v>24</v>
      </c>
    </row>
    <row r="78" spans="1:1" x14ac:dyDescent="0.3">
      <c r="A78" s="15" t="s">
        <v>24</v>
      </c>
    </row>
    <row r="79" spans="1:1" x14ac:dyDescent="0.3">
      <c r="A79" s="15" t="s">
        <v>24</v>
      </c>
    </row>
    <row r="80" spans="1:1" x14ac:dyDescent="0.3">
      <c r="A80" s="15" t="s">
        <v>24</v>
      </c>
    </row>
    <row r="81" spans="1:1" x14ac:dyDescent="0.3">
      <c r="A81" s="15" t="s">
        <v>24</v>
      </c>
    </row>
    <row r="82" spans="1:1" x14ac:dyDescent="0.3">
      <c r="A82" s="15" t="s">
        <v>24</v>
      </c>
    </row>
    <row r="83" spans="1:1" x14ac:dyDescent="0.3">
      <c r="A83" s="15" t="s">
        <v>24</v>
      </c>
    </row>
  </sheetData>
  <mergeCells count="7">
    <mergeCell ref="F57:F63"/>
    <mergeCell ref="F12:F19"/>
    <mergeCell ref="F22:F28"/>
    <mergeCell ref="F30:F38"/>
    <mergeCell ref="F40:F43"/>
    <mergeCell ref="F45:F48"/>
    <mergeCell ref="F50:F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330C-3ED8-491C-9CE0-DA58A42ACD02}">
  <dimension ref="B1:AM719"/>
  <sheetViews>
    <sheetView topLeftCell="AC3" workbookViewId="0">
      <selection activeCell="AH12" sqref="AH12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3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"Domestic Service Tariff Bill Impacts"&amp;"-"&amp;'CETR Rate'!F2</f>
        <v>Domestic Service Tariff Bill Impacts-Clean Energy Transistion Plan Project 1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 t="str">
        <f>C3</f>
        <v>Domestic Service Tariff Bill Impacts-Clean Energy Transistion Plan Project 1</v>
      </c>
      <c r="AF3" s="66"/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2" t="s">
        <v>103</v>
      </c>
      <c r="F4" s="253"/>
      <c r="G4" s="253"/>
      <c r="H4" s="253"/>
      <c r="I4" s="253"/>
      <c r="J4" s="253"/>
      <c r="K4" s="74"/>
      <c r="L4" s="112"/>
      <c r="M4" s="74"/>
      <c r="N4" s="252" t="s">
        <v>113</v>
      </c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75"/>
      <c r="AD4" s="179"/>
      <c r="AE4" s="251" t="s">
        <v>152</v>
      </c>
      <c r="AF4" s="251"/>
      <c r="AG4" s="251"/>
      <c r="AH4" s="251"/>
      <c r="AI4" s="251"/>
      <c r="AJ4" s="251"/>
      <c r="AK4" s="251"/>
      <c r="AL4" s="251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4" t="s">
        <v>151</v>
      </c>
      <c r="S5" s="254"/>
      <c r="T5" s="254"/>
      <c r="U5" s="73"/>
      <c r="V5" s="255" t="s">
        <v>99</v>
      </c>
      <c r="W5" s="255"/>
      <c r="X5" s="255"/>
      <c r="Y5" s="73"/>
      <c r="Z5" s="255" t="s">
        <v>95</v>
      </c>
      <c r="AA5" s="255"/>
      <c r="AB5" s="255"/>
      <c r="AC5" s="75"/>
      <c r="AD5" s="178"/>
      <c r="AE5" s="250" t="s">
        <v>101</v>
      </c>
      <c r="AF5" s="250"/>
      <c r="AG5" s="250"/>
      <c r="AH5" s="250"/>
      <c r="AI5" s="250" t="s">
        <v>102</v>
      </c>
      <c r="AJ5" s="250"/>
      <c r="AK5" s="250"/>
      <c r="AL5" s="250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156</v>
      </c>
      <c r="AI6" s="176">
        <v>2024</v>
      </c>
      <c r="AJ6" s="176">
        <v>2025</v>
      </c>
      <c r="AK6" s="176">
        <v>2026</v>
      </c>
      <c r="AL6" s="176" t="s">
        <v>156</v>
      </c>
      <c r="AM6" s="66"/>
    </row>
    <row r="7" spans="2:39" x14ac:dyDescent="0.3">
      <c r="B7" s="66"/>
      <c r="C7" s="77">
        <v>15</v>
      </c>
      <c r="D7" s="78">
        <v>6.5789162832419701E-2</v>
      </c>
      <c r="E7" s="79">
        <f>IF($C7&lt;=Tariffs!$E$9,Tariffs!$G$9,IF(AND($C7&gt;Tariffs!$E$9,$C7&lt;=Tariffs!$E$10),Tariffs!$G$10,Tariffs!$G$11))</f>
        <v>7</v>
      </c>
      <c r="F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G7" s="80">
        <f>F7+E7</f>
        <v>9.4</v>
      </c>
      <c r="H7" s="67">
        <f>$C7*Tariffs!$J$8</f>
        <v>6.7663651873343422</v>
      </c>
      <c r="I7" s="67">
        <f>H7+G7</f>
        <v>16.166365187334343</v>
      </c>
      <c r="J7" s="67">
        <f>I7*Tariffs!$I$8</f>
        <v>2.8291139077835097</v>
      </c>
      <c r="K7" s="81">
        <f>J7+I7</f>
        <v>18.995479095117851</v>
      </c>
      <c r="L7" s="81"/>
      <c r="M7" s="79">
        <f>IF($C7&lt;=Tariffs!$E$9,Tariffs!$G$9,IF(AND($C7&gt;Tariffs!$E$9,$C7&lt;=Tariffs!$E$10),Tariffs!$G$10,Tariffs!$G$11))</f>
        <v>7</v>
      </c>
      <c r="N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O7" s="80">
        <f>N7+M7</f>
        <v>9.4</v>
      </c>
      <c r="P7" s="67">
        <f>$C7*Tariffs!$J$8</f>
        <v>6.7663651873343422</v>
      </c>
      <c r="Q7" s="67"/>
      <c r="R7" s="67">
        <f>$C7*Tariffs!K$8</f>
        <v>0.38976</v>
      </c>
      <c r="S7" s="67">
        <f>$C7*Tariffs!L$8</f>
        <v>0.83122499999999999</v>
      </c>
      <c r="T7" s="67">
        <f>$C7*Tariffs!M$8</f>
        <v>0.86575499999999994</v>
      </c>
      <c r="U7" s="67"/>
      <c r="V7" s="67">
        <f>$P7+$O7+R7</f>
        <v>16.556125187334342</v>
      </c>
      <c r="W7" s="67">
        <f>$P7+$O7+S7</f>
        <v>16.997590187334342</v>
      </c>
      <c r="X7" s="67">
        <f>$P7+$O7+T7</f>
        <v>17.032120187334343</v>
      </c>
      <c r="Y7" s="67"/>
      <c r="Z7" s="67">
        <f>V7*(1+Tariffs!$I$8)</f>
        <v>19.453447095117852</v>
      </c>
      <c r="AA7" s="67">
        <f>W7*(1+Tariffs!$I$8)</f>
        <v>19.972168470117854</v>
      </c>
      <c r="AB7" s="67">
        <f>X7*(1+Tariffs!$I$8)</f>
        <v>20.012741220117853</v>
      </c>
      <c r="AC7" s="82"/>
      <c r="AD7" s="83">
        <f t="shared" ref="AD7:AD28" si="0">C7</f>
        <v>15</v>
      </c>
      <c r="AE7" s="67">
        <f>Z7-$K7</f>
        <v>0.45796800000000104</v>
      </c>
      <c r="AF7" s="67">
        <f t="shared" ref="AF7:AG7" si="1">AA7-$K7</f>
        <v>0.97668937500000297</v>
      </c>
      <c r="AG7" s="67">
        <f t="shared" si="1"/>
        <v>1.017262125000002</v>
      </c>
      <c r="AH7" s="80">
        <f>SUM(AE7:AG7)</f>
        <v>2.451919500000006</v>
      </c>
      <c r="AI7" s="172">
        <f t="shared" ref="AI7:AI28" si="2">Z7/$K7-1</f>
        <v>2.4109315574867729E-2</v>
      </c>
      <c r="AJ7" s="172">
        <f t="shared" ref="AJ7:AJ28" si="3">AA7/$K7-1</f>
        <v>5.1416938215105512E-2</v>
      </c>
      <c r="AK7" s="172">
        <f t="shared" ref="AK7:AK28" si="4">AB7/$K7-1</f>
        <v>5.3552854334769417E-2</v>
      </c>
      <c r="AL7" s="180">
        <f>SUM(AI7:AK7)</f>
        <v>0.12907910812474266</v>
      </c>
      <c r="AM7" s="66"/>
    </row>
    <row r="8" spans="2:39" x14ac:dyDescent="0.3">
      <c r="B8" s="66"/>
      <c r="C8" s="84">
        <v>50</v>
      </c>
      <c r="D8" s="85">
        <v>9.8571705727423492E-2</v>
      </c>
      <c r="E8" s="86">
        <f>IF($C8&lt;=Tariffs!$E$9,Tariffs!$G$9,IF(AND($C8&gt;Tariffs!$E$9,$C8&lt;=Tariffs!$E$10),Tariffs!$G$10,Tariffs!$G$11))</f>
        <v>7</v>
      </c>
      <c r="F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G8" s="87">
        <f t="shared" ref="G8:G28" si="5">F8+E8</f>
        <v>15</v>
      </c>
      <c r="H8" s="88">
        <f>$C8*Tariffs!$J$8</f>
        <v>22.55455062444781</v>
      </c>
      <c r="I8" s="88">
        <f t="shared" ref="I8:I28" si="6">H8+G8</f>
        <v>37.554550624447813</v>
      </c>
      <c r="J8" s="88">
        <f>I8*Tariffs!$I$8</f>
        <v>6.5720463592783673</v>
      </c>
      <c r="K8" s="89">
        <f t="shared" ref="K8:K28" si="7">J8+I8</f>
        <v>44.126596983726181</v>
      </c>
      <c r="L8" s="81"/>
      <c r="M8" s="86">
        <f>IF($C8&lt;=Tariffs!$E$9,Tariffs!$G$9,IF(AND($C8&gt;Tariffs!$E$9,$C8&lt;=Tariffs!$E$10),Tariffs!$G$10,Tariffs!$G$11))</f>
        <v>7</v>
      </c>
      <c r="N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O8" s="87">
        <f t="shared" ref="O8:O28" si="8">N8+M8</f>
        <v>15</v>
      </c>
      <c r="P8" s="88">
        <f>$C8*Tariffs!$J$8</f>
        <v>22.55455062444781</v>
      </c>
      <c r="Q8" s="67"/>
      <c r="R8" s="88">
        <f>$C8*Tariffs!K$8</f>
        <v>1.2991999999999999</v>
      </c>
      <c r="S8" s="88">
        <f>$C8*Tariffs!L$8</f>
        <v>2.77075</v>
      </c>
      <c r="T8" s="88">
        <f>$C8*Tariffs!M$8</f>
        <v>2.88585</v>
      </c>
      <c r="U8" s="67"/>
      <c r="V8" s="88">
        <f t="shared" ref="V8:V28" si="9">$P8+$O8+R8</f>
        <v>38.853750624447812</v>
      </c>
      <c r="W8" s="88">
        <f t="shared" ref="W8:W28" si="10">$P8+$O8+S8</f>
        <v>40.325300624447813</v>
      </c>
      <c r="X8" s="88">
        <f t="shared" ref="X8:X28" si="11">$P8+$O8+T8</f>
        <v>40.440400624447811</v>
      </c>
      <c r="Y8" s="67"/>
      <c r="Z8" s="88">
        <f>V8*(1+Tariffs!$I$8)</f>
        <v>45.653156983726184</v>
      </c>
      <c r="AA8" s="88">
        <f>W8*(1+Tariffs!$I$8)</f>
        <v>47.382228233726181</v>
      </c>
      <c r="AB8" s="88">
        <f>X8*(1+Tariffs!$I$8)</f>
        <v>47.517470733726178</v>
      </c>
      <c r="AC8" s="82"/>
      <c r="AD8" s="90">
        <f t="shared" si="0"/>
        <v>50</v>
      </c>
      <c r="AE8" s="88">
        <f t="shared" ref="AE8:AE28" si="12">Z8-$K8</f>
        <v>1.5265600000000035</v>
      </c>
      <c r="AF8" s="88">
        <f t="shared" ref="AF8:AF28" si="13">AA8-$K8</f>
        <v>3.2556312500000004</v>
      </c>
      <c r="AG8" s="88">
        <f t="shared" ref="AG8:AG28" si="14">AB8-$K8</f>
        <v>3.3908737499999972</v>
      </c>
      <c r="AH8" s="87">
        <f t="shared" ref="AH8:AH28" si="15">SUM(AE8:AG8)</f>
        <v>8.1730650000000011</v>
      </c>
      <c r="AI8" s="173">
        <f t="shared" si="2"/>
        <v>3.4595008551486561E-2</v>
      </c>
      <c r="AJ8" s="173">
        <f t="shared" si="3"/>
        <v>7.3779341089925232E-2</v>
      </c>
      <c r="AK8" s="173">
        <f t="shared" si="4"/>
        <v>7.6844216000852006E-2</v>
      </c>
      <c r="AL8" s="181">
        <f t="shared" ref="AL8:AL28" si="16">SUM(AI8:AK8)</f>
        <v>0.1852185656422638</v>
      </c>
      <c r="AM8" s="66"/>
    </row>
    <row r="9" spans="2:39" x14ac:dyDescent="0.3">
      <c r="B9" s="66"/>
      <c r="C9" s="77">
        <v>100</v>
      </c>
      <c r="D9" s="78">
        <v>0.2011223897351237</v>
      </c>
      <c r="E9" s="79">
        <f>IF($C9&lt;=Tariffs!$E$9,Tariffs!$G$9,IF(AND($C9&gt;Tariffs!$E$9,$C9&lt;=Tariffs!$E$10),Tariffs!$G$10,Tariffs!$G$11))</f>
        <v>7</v>
      </c>
      <c r="F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G9" s="80">
        <f t="shared" si="5"/>
        <v>23</v>
      </c>
      <c r="H9" s="67">
        <f>$C9*Tariffs!$J$8</f>
        <v>45.10910124889562</v>
      </c>
      <c r="I9" s="67">
        <f t="shared" si="6"/>
        <v>68.109101248895627</v>
      </c>
      <c r="J9" s="67">
        <f>I9*Tariffs!$I$8</f>
        <v>11.919092718556733</v>
      </c>
      <c r="K9" s="81">
        <f t="shared" si="7"/>
        <v>80.028193967452353</v>
      </c>
      <c r="L9" s="81"/>
      <c r="M9" s="79">
        <f>IF($C9&lt;=Tariffs!$E$9,Tariffs!$G$9,IF(AND($C9&gt;Tariffs!$E$9,$C9&lt;=Tariffs!$E$10),Tariffs!$G$10,Tariffs!$G$11))</f>
        <v>7</v>
      </c>
      <c r="N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O9" s="80">
        <f t="shared" si="8"/>
        <v>23</v>
      </c>
      <c r="P9" s="67">
        <f>$C9*Tariffs!$J$8</f>
        <v>45.10910124889562</v>
      </c>
      <c r="Q9" s="67"/>
      <c r="R9" s="67">
        <f>$C9*Tariffs!K$8</f>
        <v>2.5983999999999998</v>
      </c>
      <c r="S9" s="67">
        <f>$C9*Tariffs!L$8</f>
        <v>5.5415000000000001</v>
      </c>
      <c r="T9" s="67">
        <f>$C9*Tariffs!M$8</f>
        <v>5.7717000000000001</v>
      </c>
      <c r="U9" s="67"/>
      <c r="V9" s="67">
        <f t="shared" si="9"/>
        <v>70.707501248895625</v>
      </c>
      <c r="W9" s="67">
        <f t="shared" si="10"/>
        <v>73.650601248895626</v>
      </c>
      <c r="X9" s="67">
        <f t="shared" si="11"/>
        <v>73.880801248895622</v>
      </c>
      <c r="Y9" s="67"/>
      <c r="Z9" s="67">
        <f>V9*(1+Tariffs!$I$8)</f>
        <v>83.08131396745236</v>
      </c>
      <c r="AA9" s="67">
        <f>W9*(1+Tariffs!$I$8)</f>
        <v>86.539456467452368</v>
      </c>
      <c r="AB9" s="67">
        <f>X9*(1+Tariffs!$I$8)</f>
        <v>86.809941467452362</v>
      </c>
      <c r="AC9" s="82"/>
      <c r="AD9" s="83">
        <f t="shared" si="0"/>
        <v>100</v>
      </c>
      <c r="AE9" s="67">
        <f t="shared" si="12"/>
        <v>3.0531200000000069</v>
      </c>
      <c r="AF9" s="67">
        <f t="shared" si="13"/>
        <v>6.5112625000000151</v>
      </c>
      <c r="AG9" s="67">
        <f t="shared" si="14"/>
        <v>6.7817475000000087</v>
      </c>
      <c r="AH9" s="80">
        <f t="shared" si="15"/>
        <v>16.346130000000031</v>
      </c>
      <c r="AI9" s="172">
        <f t="shared" si="2"/>
        <v>3.8150554806243964E-2</v>
      </c>
      <c r="AJ9" s="172">
        <f t="shared" si="3"/>
        <v>8.1362107242457071E-2</v>
      </c>
      <c r="AK9" s="172">
        <f t="shared" si="4"/>
        <v>8.4741978592671519E-2</v>
      </c>
      <c r="AL9" s="180">
        <f t="shared" si="16"/>
        <v>0.20425464064137255</v>
      </c>
      <c r="AM9" s="66"/>
    </row>
    <row r="10" spans="2:39" x14ac:dyDescent="0.3">
      <c r="B10" s="66"/>
      <c r="C10" s="84">
        <v>150</v>
      </c>
      <c r="D10" s="85">
        <v>0.35458366413929709</v>
      </c>
      <c r="E10" s="86">
        <f>IF($C10&lt;=Tariffs!$E$9,Tariffs!$G$9,IF(AND($C10&gt;Tariffs!$E$9,$C10&lt;=Tariffs!$E$10),Tariffs!$G$10,Tariffs!$G$11))</f>
        <v>7</v>
      </c>
      <c r="F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G10" s="87">
        <f t="shared" si="5"/>
        <v>31</v>
      </c>
      <c r="H10" s="88">
        <f>$C10*Tariffs!$J$8</f>
        <v>67.663651873343426</v>
      </c>
      <c r="I10" s="88">
        <f t="shared" si="6"/>
        <v>98.663651873343426</v>
      </c>
      <c r="J10" s="88">
        <f>I10*Tariffs!$I$8</f>
        <v>17.266139077835099</v>
      </c>
      <c r="K10" s="89">
        <f t="shared" si="7"/>
        <v>115.92979095117852</v>
      </c>
      <c r="L10" s="81"/>
      <c r="M10" s="86">
        <f>IF($C10&lt;=Tariffs!$E$9,Tariffs!$G$9,IF(AND($C10&gt;Tariffs!$E$9,$C10&lt;=Tariffs!$E$10),Tariffs!$G$10,Tariffs!$G$11))</f>
        <v>7</v>
      </c>
      <c r="N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O10" s="87">
        <f t="shared" si="8"/>
        <v>31</v>
      </c>
      <c r="P10" s="88">
        <f>$C10*Tariffs!$J$8</f>
        <v>67.663651873343426</v>
      </c>
      <c r="Q10" s="67"/>
      <c r="R10" s="88">
        <f>$C10*Tariffs!K$8</f>
        <v>3.8976000000000002</v>
      </c>
      <c r="S10" s="88">
        <f>$C10*Tariffs!L$8</f>
        <v>8.3122500000000006</v>
      </c>
      <c r="T10" s="88">
        <f>$C10*Tariffs!M$8</f>
        <v>8.6575499999999987</v>
      </c>
      <c r="U10" s="67"/>
      <c r="V10" s="88">
        <f t="shared" si="9"/>
        <v>102.56125187334342</v>
      </c>
      <c r="W10" s="88">
        <f t="shared" si="10"/>
        <v>106.97590187334343</v>
      </c>
      <c r="X10" s="88">
        <f t="shared" si="11"/>
        <v>107.32120187334343</v>
      </c>
      <c r="Y10" s="67"/>
      <c r="Z10" s="88">
        <f>V10*(1+Tariffs!$I$8)</f>
        <v>120.50947095117853</v>
      </c>
      <c r="AA10" s="88">
        <f>W10*(1+Tariffs!$I$8)</f>
        <v>125.69668470117854</v>
      </c>
      <c r="AB10" s="88">
        <f>X10*(1+Tariffs!$I$8)</f>
        <v>126.10241220117852</v>
      </c>
      <c r="AC10" s="82"/>
      <c r="AD10" s="90">
        <f t="shared" si="0"/>
        <v>150</v>
      </c>
      <c r="AE10" s="88">
        <f t="shared" si="12"/>
        <v>4.5796800000000104</v>
      </c>
      <c r="AF10" s="88">
        <f t="shared" si="13"/>
        <v>9.7668937500000226</v>
      </c>
      <c r="AG10" s="88">
        <f t="shared" si="14"/>
        <v>10.172621250000006</v>
      </c>
      <c r="AH10" s="87">
        <f t="shared" si="15"/>
        <v>24.519195000000039</v>
      </c>
      <c r="AI10" s="173">
        <f t="shared" si="2"/>
        <v>3.9503909758007216E-2</v>
      </c>
      <c r="AJ10" s="173">
        <f t="shared" si="3"/>
        <v>8.424835126385366E-2</v>
      </c>
      <c r="AK10" s="173">
        <f t="shared" si="4"/>
        <v>8.7748120362642679E-2</v>
      </c>
      <c r="AL10" s="181">
        <f t="shared" si="16"/>
        <v>0.21150038138450356</v>
      </c>
      <c r="AM10" s="66"/>
    </row>
    <row r="11" spans="2:39" x14ac:dyDescent="0.3">
      <c r="B11" s="66"/>
      <c r="C11" s="77">
        <v>200</v>
      </c>
      <c r="D11" s="78">
        <v>0.50649644447721665</v>
      </c>
      <c r="E11" s="79">
        <f>IF($C11&lt;=Tariffs!$E$9,Tariffs!$G$9,IF(AND($C11&gt;Tariffs!$E$9,$C11&lt;=Tariffs!$E$10),Tariffs!$G$10,Tariffs!$G$11))</f>
        <v>12</v>
      </c>
      <c r="F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G11" s="80">
        <f t="shared" si="5"/>
        <v>45.8</v>
      </c>
      <c r="H11" s="67">
        <f>$C11*Tariffs!$J$8</f>
        <v>90.218202497791239</v>
      </c>
      <c r="I11" s="67">
        <f t="shared" si="6"/>
        <v>136.01820249779124</v>
      </c>
      <c r="J11" s="67">
        <f>I11*Tariffs!$I$8</f>
        <v>23.803185437113466</v>
      </c>
      <c r="K11" s="81">
        <f t="shared" si="7"/>
        <v>159.82138793490469</v>
      </c>
      <c r="L11" s="81"/>
      <c r="M11" s="79">
        <f>IF($C11&lt;=Tariffs!$E$9,Tariffs!$G$9,IF(AND($C11&gt;Tariffs!$E$9,$C11&lt;=Tariffs!$E$10),Tariffs!$G$10,Tariffs!$G$11))</f>
        <v>12</v>
      </c>
      <c r="N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O11" s="80">
        <f t="shared" si="8"/>
        <v>45.8</v>
      </c>
      <c r="P11" s="67">
        <f>$C11*Tariffs!$J$8</f>
        <v>90.218202497791239</v>
      </c>
      <c r="Q11" s="67"/>
      <c r="R11" s="67">
        <f>$C11*Tariffs!K$8</f>
        <v>5.1967999999999996</v>
      </c>
      <c r="S11" s="67">
        <f>$C11*Tariffs!L$8</f>
        <v>11.083</v>
      </c>
      <c r="T11" s="67">
        <f>$C11*Tariffs!M$8</f>
        <v>11.5434</v>
      </c>
      <c r="U11" s="67"/>
      <c r="V11" s="67">
        <f t="shared" si="9"/>
        <v>141.21500249779123</v>
      </c>
      <c r="W11" s="67">
        <f t="shared" si="10"/>
        <v>147.10120249779123</v>
      </c>
      <c r="X11" s="67">
        <f t="shared" si="11"/>
        <v>147.56160249779123</v>
      </c>
      <c r="Y11" s="67"/>
      <c r="Z11" s="67">
        <f>V11*(1+Tariffs!$I$8)</f>
        <v>165.92762793490471</v>
      </c>
      <c r="AA11" s="67">
        <f>W11*(1+Tariffs!$I$8)</f>
        <v>172.84391293490469</v>
      </c>
      <c r="AB11" s="67">
        <f>X11*(1+Tariffs!$I$8)</f>
        <v>173.38488293490471</v>
      </c>
      <c r="AC11" s="82"/>
      <c r="AD11" s="83">
        <f t="shared" si="0"/>
        <v>200</v>
      </c>
      <c r="AE11" s="67">
        <f t="shared" si="12"/>
        <v>6.1062400000000139</v>
      </c>
      <c r="AF11" s="67">
        <f t="shared" si="13"/>
        <v>13.022525000000002</v>
      </c>
      <c r="AG11" s="67">
        <f t="shared" si="14"/>
        <v>13.563495000000017</v>
      </c>
      <c r="AH11" s="80">
        <f t="shared" si="15"/>
        <v>32.692260000000033</v>
      </c>
      <c r="AI11" s="172">
        <f t="shared" si="2"/>
        <v>3.8206651055283647E-2</v>
      </c>
      <c r="AJ11" s="172">
        <f t="shared" si="3"/>
        <v>8.1481741388105489E-2</v>
      </c>
      <c r="AK11" s="172">
        <f t="shared" si="4"/>
        <v>8.4866582472205909E-2</v>
      </c>
      <c r="AL11" s="180">
        <f t="shared" si="16"/>
        <v>0.20455497491559504</v>
      </c>
      <c r="AM11" s="66"/>
    </row>
    <row r="12" spans="2:39" x14ac:dyDescent="0.3">
      <c r="B12" s="66"/>
      <c r="C12" s="91">
        <v>250</v>
      </c>
      <c r="D12" s="92">
        <v>0.63469213747305508</v>
      </c>
      <c r="E12" s="93">
        <f>IF($C12&lt;=Tariffs!$E$9,Tariffs!$G$9,IF(AND($C12&gt;Tariffs!$E$9,$C12&lt;=Tariffs!$E$10),Tariffs!$G$10,Tariffs!$G$11))</f>
        <v>12</v>
      </c>
      <c r="F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G12" s="94">
        <f t="shared" si="5"/>
        <v>55.6</v>
      </c>
      <c r="H12" s="95">
        <f>$C12*Tariffs!$J$8</f>
        <v>112.77275312223904</v>
      </c>
      <c r="I12" s="95">
        <f t="shared" si="6"/>
        <v>168.37275312223903</v>
      </c>
      <c r="J12" s="95">
        <f>I12*Tariffs!$I$8</f>
        <v>29.46523179639183</v>
      </c>
      <c r="K12" s="96">
        <f t="shared" si="7"/>
        <v>197.83798491863087</v>
      </c>
      <c r="L12" s="113"/>
      <c r="M12" s="93">
        <f>IF($C12&lt;=Tariffs!$E$9,Tariffs!$G$9,IF(AND($C12&gt;Tariffs!$E$9,$C12&lt;=Tariffs!$E$10),Tariffs!$G$10,Tariffs!$G$11))</f>
        <v>12</v>
      </c>
      <c r="N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O12" s="94">
        <f t="shared" si="8"/>
        <v>55.6</v>
      </c>
      <c r="P12" s="95">
        <f>$C12*Tariffs!$J$8</f>
        <v>112.77275312223904</v>
      </c>
      <c r="Q12" s="171"/>
      <c r="R12" s="95">
        <f>$C12*Tariffs!K$8</f>
        <v>6.4960000000000004</v>
      </c>
      <c r="S12" s="95">
        <f>$C12*Tariffs!L$8</f>
        <v>13.85375</v>
      </c>
      <c r="T12" s="95">
        <f>$C12*Tariffs!M$8</f>
        <v>14.42925</v>
      </c>
      <c r="U12" s="171"/>
      <c r="V12" s="95">
        <f t="shared" si="9"/>
        <v>174.86875312223904</v>
      </c>
      <c r="W12" s="95">
        <f t="shared" si="10"/>
        <v>182.22650312223902</v>
      </c>
      <c r="X12" s="95">
        <f t="shared" si="11"/>
        <v>182.80200312223903</v>
      </c>
      <c r="Y12" s="67"/>
      <c r="Z12" s="95">
        <f>V12*(1+Tariffs!$I$8)</f>
        <v>205.47078491863087</v>
      </c>
      <c r="AA12" s="95">
        <f>W12*(1+Tariffs!$I$8)</f>
        <v>214.11614116863086</v>
      </c>
      <c r="AB12" s="95">
        <f>X12*(1+Tariffs!$I$8)</f>
        <v>214.79235366863088</v>
      </c>
      <c r="AC12" s="82"/>
      <c r="AD12" s="175">
        <f t="shared" si="0"/>
        <v>250</v>
      </c>
      <c r="AE12" s="95">
        <f t="shared" si="12"/>
        <v>7.6328000000000031</v>
      </c>
      <c r="AF12" s="95">
        <f t="shared" si="13"/>
        <v>16.278156249999995</v>
      </c>
      <c r="AG12" s="95">
        <f t="shared" si="14"/>
        <v>16.954368750000015</v>
      </c>
      <c r="AH12" s="94">
        <f t="shared" si="15"/>
        <v>40.865325000000013</v>
      </c>
      <c r="AI12" s="174">
        <f t="shared" si="2"/>
        <v>3.8581064213423444E-2</v>
      </c>
      <c r="AJ12" s="174">
        <f t="shared" si="3"/>
        <v>8.2280236814457286E-2</v>
      </c>
      <c r="AK12" s="174">
        <f t="shared" si="4"/>
        <v>8.5698248276099287E-2</v>
      </c>
      <c r="AL12" s="182">
        <f t="shared" si="16"/>
        <v>0.20655954930398002</v>
      </c>
      <c r="AM12" s="66"/>
    </row>
    <row r="13" spans="2:39" x14ac:dyDescent="0.3">
      <c r="B13" s="66"/>
      <c r="C13" s="77">
        <v>300</v>
      </c>
      <c r="D13" s="78">
        <v>0.73320227570639729</v>
      </c>
      <c r="E13" s="79">
        <f>IF($C13&lt;=Tariffs!$E$9,Tariffs!$G$9,IF(AND($C13&gt;Tariffs!$E$9,$C13&lt;=Tariffs!$E$10),Tariffs!$G$10,Tariffs!$G$11))</f>
        <v>12</v>
      </c>
      <c r="F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G13" s="80">
        <f t="shared" si="5"/>
        <v>65.400000000000006</v>
      </c>
      <c r="H13" s="67">
        <f>$C13*Tariffs!$J$8</f>
        <v>135.32730374668685</v>
      </c>
      <c r="I13" s="67">
        <f t="shared" si="6"/>
        <v>200.72730374668686</v>
      </c>
      <c r="J13" s="67">
        <f>I13*Tariffs!$I$8</f>
        <v>35.127278155670197</v>
      </c>
      <c r="K13" s="81">
        <f t="shared" si="7"/>
        <v>235.85458190235704</v>
      </c>
      <c r="L13" s="81"/>
      <c r="M13" s="79">
        <f>IF($C13&lt;=Tariffs!$E$9,Tariffs!$G$9,IF(AND($C13&gt;Tariffs!$E$9,$C13&lt;=Tariffs!$E$10),Tariffs!$G$10,Tariffs!$G$11))</f>
        <v>12</v>
      </c>
      <c r="N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O13" s="80">
        <f t="shared" si="8"/>
        <v>65.400000000000006</v>
      </c>
      <c r="P13" s="67">
        <f>$C13*Tariffs!$J$8</f>
        <v>135.32730374668685</v>
      </c>
      <c r="Q13" s="67"/>
      <c r="R13" s="67">
        <f>$C13*Tariffs!K$8</f>
        <v>7.7952000000000004</v>
      </c>
      <c r="S13" s="67">
        <f>$C13*Tariffs!L$8</f>
        <v>16.624500000000001</v>
      </c>
      <c r="T13" s="67">
        <f>$C13*Tariffs!M$8</f>
        <v>17.315099999999997</v>
      </c>
      <c r="U13" s="67"/>
      <c r="V13" s="67">
        <f t="shared" si="9"/>
        <v>208.52250374668685</v>
      </c>
      <c r="W13" s="67">
        <f t="shared" si="10"/>
        <v>217.35180374668687</v>
      </c>
      <c r="X13" s="67">
        <f t="shared" si="11"/>
        <v>218.04240374668686</v>
      </c>
      <c r="Y13" s="67"/>
      <c r="Z13" s="67">
        <f>V13*(1+Tariffs!$I$8)</f>
        <v>245.01394190235706</v>
      </c>
      <c r="AA13" s="67">
        <f>W13*(1+Tariffs!$I$8)</f>
        <v>255.38836940235709</v>
      </c>
      <c r="AB13" s="67">
        <f>X13*(1+Tariffs!$I$8)</f>
        <v>256.19982440235708</v>
      </c>
      <c r="AC13" s="82"/>
      <c r="AD13" s="83">
        <f t="shared" si="0"/>
        <v>300</v>
      </c>
      <c r="AE13" s="67">
        <f t="shared" si="12"/>
        <v>9.1593600000000208</v>
      </c>
      <c r="AF13" s="67">
        <f t="shared" si="13"/>
        <v>19.533787500000045</v>
      </c>
      <c r="AG13" s="67">
        <f t="shared" si="14"/>
        <v>20.34524250000004</v>
      </c>
      <c r="AH13" s="80">
        <f t="shared" si="15"/>
        <v>49.038390000000106</v>
      </c>
      <c r="AI13" s="172">
        <f t="shared" si="2"/>
        <v>3.8834776607358679E-2</v>
      </c>
      <c r="AJ13" s="172">
        <f t="shared" si="3"/>
        <v>8.2821318722936521E-2</v>
      </c>
      <c r="AK13" s="172">
        <f t="shared" si="4"/>
        <v>8.6261807321694972E-2</v>
      </c>
      <c r="AL13" s="180">
        <f t="shared" si="16"/>
        <v>0.20791790265199017</v>
      </c>
      <c r="AM13" s="66"/>
    </row>
    <row r="14" spans="2:39" x14ac:dyDescent="0.3">
      <c r="B14" s="66"/>
      <c r="C14" s="84">
        <v>350</v>
      </c>
      <c r="D14" s="85">
        <v>0.80418530097555818</v>
      </c>
      <c r="E14" s="86">
        <f>IF($C14&lt;=Tariffs!$E$9,Tariffs!$G$9,IF(AND($C14&gt;Tariffs!$E$9,$C14&lt;=Tariffs!$E$10),Tariffs!$G$10,Tariffs!$G$11))</f>
        <v>12</v>
      </c>
      <c r="F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G14" s="87">
        <f t="shared" si="5"/>
        <v>75.2</v>
      </c>
      <c r="H14" s="88">
        <f>$C14*Tariffs!$J$8</f>
        <v>157.88185437113466</v>
      </c>
      <c r="I14" s="88">
        <f t="shared" si="6"/>
        <v>233.08185437113468</v>
      </c>
      <c r="J14" s="88">
        <f>I14*Tariffs!$I$8</f>
        <v>40.789324514948568</v>
      </c>
      <c r="K14" s="89">
        <f t="shared" si="7"/>
        <v>273.87117888608327</v>
      </c>
      <c r="L14" s="81"/>
      <c r="M14" s="86">
        <f>IF($C14&lt;=Tariffs!$E$9,Tariffs!$G$9,IF(AND($C14&gt;Tariffs!$E$9,$C14&lt;=Tariffs!$E$10),Tariffs!$G$10,Tariffs!$G$11))</f>
        <v>12</v>
      </c>
      <c r="N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O14" s="87">
        <f t="shared" si="8"/>
        <v>75.2</v>
      </c>
      <c r="P14" s="88">
        <f>$C14*Tariffs!$J$8</f>
        <v>157.88185437113466</v>
      </c>
      <c r="Q14" s="67"/>
      <c r="R14" s="88">
        <f>$C14*Tariffs!K$8</f>
        <v>9.0944000000000003</v>
      </c>
      <c r="S14" s="88">
        <f>$C14*Tariffs!L$8</f>
        <v>19.395250000000001</v>
      </c>
      <c r="T14" s="88">
        <f>$C14*Tariffs!M$8</f>
        <v>20.200949999999999</v>
      </c>
      <c r="U14" s="67"/>
      <c r="V14" s="88">
        <f t="shared" si="9"/>
        <v>242.17625437113469</v>
      </c>
      <c r="W14" s="88">
        <f t="shared" si="10"/>
        <v>252.47710437113469</v>
      </c>
      <c r="X14" s="88">
        <f t="shared" si="11"/>
        <v>253.28280437113469</v>
      </c>
      <c r="Y14" s="67"/>
      <c r="Z14" s="88">
        <f>V14*(1+Tariffs!$I$8)</f>
        <v>284.55709888608328</v>
      </c>
      <c r="AA14" s="88">
        <f>W14*(1+Tariffs!$I$8)</f>
        <v>296.66059763608325</v>
      </c>
      <c r="AB14" s="88">
        <f>X14*(1+Tariffs!$I$8)</f>
        <v>297.60729513608328</v>
      </c>
      <c r="AC14" s="82"/>
      <c r="AD14" s="90">
        <f t="shared" si="0"/>
        <v>350</v>
      </c>
      <c r="AE14" s="88">
        <f t="shared" si="12"/>
        <v>10.68592000000001</v>
      </c>
      <c r="AF14" s="88">
        <f t="shared" si="13"/>
        <v>22.789418749999982</v>
      </c>
      <c r="AG14" s="88">
        <f t="shared" si="14"/>
        <v>23.736116250000009</v>
      </c>
      <c r="AH14" s="87">
        <f t="shared" si="15"/>
        <v>57.211455000000001</v>
      </c>
      <c r="AI14" s="173">
        <f t="shared" si="2"/>
        <v>3.9018052368499978E-2</v>
      </c>
      <c r="AJ14" s="173">
        <f t="shared" si="3"/>
        <v>8.3212183343612134E-2</v>
      </c>
      <c r="AK14" s="173">
        <f t="shared" si="4"/>
        <v>8.6668908888266172E-2</v>
      </c>
      <c r="AL14" s="181">
        <f t="shared" si="16"/>
        <v>0.20889914460037828</v>
      </c>
      <c r="AM14" s="66"/>
    </row>
    <row r="15" spans="2:39" x14ac:dyDescent="0.3">
      <c r="B15" s="66"/>
      <c r="C15" s="77">
        <v>400</v>
      </c>
      <c r="D15" s="78">
        <v>0.85319159446207526</v>
      </c>
      <c r="E15" s="79">
        <f>IF($C15&lt;=Tariffs!$E$9,Tariffs!$G$9,IF(AND($C15&gt;Tariffs!$E$9,$C15&lt;=Tariffs!$E$10),Tariffs!$G$10,Tariffs!$G$11))</f>
        <v>12</v>
      </c>
      <c r="F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G15" s="80">
        <f t="shared" si="5"/>
        <v>85</v>
      </c>
      <c r="H15" s="67">
        <f>$C15*Tariffs!$J$8</f>
        <v>180.43640499558248</v>
      </c>
      <c r="I15" s="67">
        <f t="shared" si="6"/>
        <v>265.43640499558251</v>
      </c>
      <c r="J15" s="67">
        <f>I15*Tariffs!$I$8</f>
        <v>46.451370874226939</v>
      </c>
      <c r="K15" s="81">
        <f t="shared" si="7"/>
        <v>311.88777586980945</v>
      </c>
      <c r="L15" s="81"/>
      <c r="M15" s="79">
        <f>IF($C15&lt;=Tariffs!$E$9,Tariffs!$G$9,IF(AND($C15&gt;Tariffs!$E$9,$C15&lt;=Tariffs!$E$10),Tariffs!$G$10,Tariffs!$G$11))</f>
        <v>12</v>
      </c>
      <c r="N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O15" s="80">
        <f t="shared" si="8"/>
        <v>85</v>
      </c>
      <c r="P15" s="67">
        <f>$C15*Tariffs!$J$8</f>
        <v>180.43640499558248</v>
      </c>
      <c r="Q15" s="67"/>
      <c r="R15" s="67">
        <f>$C15*Tariffs!K$8</f>
        <v>10.393599999999999</v>
      </c>
      <c r="S15" s="67">
        <f>$C15*Tariffs!L$8</f>
        <v>22.166</v>
      </c>
      <c r="T15" s="67">
        <f>$C15*Tariffs!M$8</f>
        <v>23.0868</v>
      </c>
      <c r="U15" s="67"/>
      <c r="V15" s="67">
        <f t="shared" si="9"/>
        <v>275.8300049955825</v>
      </c>
      <c r="W15" s="67">
        <f t="shared" si="10"/>
        <v>287.6024049955825</v>
      </c>
      <c r="X15" s="67">
        <f t="shared" si="11"/>
        <v>288.52320499558249</v>
      </c>
      <c r="Y15" s="67"/>
      <c r="Z15" s="67">
        <f>V15*(1+Tariffs!$I$8)</f>
        <v>324.10025586980947</v>
      </c>
      <c r="AA15" s="67">
        <f>W15*(1+Tariffs!$I$8)</f>
        <v>337.93282586980945</v>
      </c>
      <c r="AB15" s="67">
        <f>X15*(1+Tariffs!$I$8)</f>
        <v>339.01476586980942</v>
      </c>
      <c r="AC15" s="82"/>
      <c r="AD15" s="83">
        <f t="shared" si="0"/>
        <v>400</v>
      </c>
      <c r="AE15" s="67">
        <f t="shared" si="12"/>
        <v>12.212480000000028</v>
      </c>
      <c r="AF15" s="67">
        <f t="shared" si="13"/>
        <v>26.045050000000003</v>
      </c>
      <c r="AG15" s="67">
        <f t="shared" si="14"/>
        <v>27.126989999999978</v>
      </c>
      <c r="AH15" s="80">
        <f t="shared" si="15"/>
        <v>65.384520000000009</v>
      </c>
      <c r="AI15" s="172">
        <f t="shared" si="2"/>
        <v>3.9156648464151012E-2</v>
      </c>
      <c r="AJ15" s="172">
        <f t="shared" si="3"/>
        <v>8.3507761493262E-2</v>
      </c>
      <c r="AK15" s="172">
        <f t="shared" si="4"/>
        <v>8.6976765679086965E-2</v>
      </c>
      <c r="AL15" s="180">
        <f t="shared" si="16"/>
        <v>0.20964117563649998</v>
      </c>
      <c r="AM15" s="66"/>
    </row>
    <row r="16" spans="2:39" x14ac:dyDescent="0.3">
      <c r="B16" s="66"/>
      <c r="C16" s="84">
        <v>450</v>
      </c>
      <c r="D16" s="85">
        <v>0.88721550985402042</v>
      </c>
      <c r="E16" s="86">
        <f>IF($C16&lt;=Tariffs!$E$9,Tariffs!$G$9,IF(AND($C16&gt;Tariffs!$E$9,$C16&lt;=Tariffs!$E$10),Tariffs!$G$10,Tariffs!$G$11))</f>
        <v>12</v>
      </c>
      <c r="F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G16" s="87">
        <f t="shared" si="5"/>
        <v>94.800000000000011</v>
      </c>
      <c r="H16" s="88">
        <f>$C16*Tariffs!$J$8</f>
        <v>202.99095562003026</v>
      </c>
      <c r="I16" s="88">
        <f t="shared" si="6"/>
        <v>297.79095562003027</v>
      </c>
      <c r="J16" s="88">
        <f>I16*Tariffs!$I$8</f>
        <v>52.113417233505295</v>
      </c>
      <c r="K16" s="89">
        <f t="shared" si="7"/>
        <v>349.90437285353556</v>
      </c>
      <c r="L16" s="81"/>
      <c r="M16" s="86">
        <f>IF($C16&lt;=Tariffs!$E$9,Tariffs!$G$9,IF(AND($C16&gt;Tariffs!$E$9,$C16&lt;=Tariffs!$E$10),Tariffs!$G$10,Tariffs!$G$11))</f>
        <v>12</v>
      </c>
      <c r="N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O16" s="87">
        <f t="shared" si="8"/>
        <v>94.800000000000011</v>
      </c>
      <c r="P16" s="88">
        <f>$C16*Tariffs!$J$8</f>
        <v>202.99095562003026</v>
      </c>
      <c r="Q16" s="67"/>
      <c r="R16" s="88">
        <f>$C16*Tariffs!K$8</f>
        <v>11.6928</v>
      </c>
      <c r="S16" s="88">
        <f>$C16*Tariffs!L$8</f>
        <v>24.93675</v>
      </c>
      <c r="T16" s="88">
        <f>$C16*Tariffs!M$8</f>
        <v>25.972649999999998</v>
      </c>
      <c r="U16" s="67"/>
      <c r="V16" s="88">
        <f t="shared" si="9"/>
        <v>309.48375562003025</v>
      </c>
      <c r="W16" s="88">
        <f t="shared" si="10"/>
        <v>322.72770562003029</v>
      </c>
      <c r="X16" s="88">
        <f t="shared" si="11"/>
        <v>323.76360562003026</v>
      </c>
      <c r="Y16" s="67"/>
      <c r="Z16" s="88">
        <f>V16*(1+Tariffs!$I$8)</f>
        <v>363.64341285353555</v>
      </c>
      <c r="AA16" s="88">
        <f>W16*(1+Tariffs!$I$8)</f>
        <v>379.20505410353559</v>
      </c>
      <c r="AB16" s="88">
        <f>X16*(1+Tariffs!$I$8)</f>
        <v>380.42223660353557</v>
      </c>
      <c r="AC16" s="82"/>
      <c r="AD16" s="90">
        <f t="shared" si="0"/>
        <v>450</v>
      </c>
      <c r="AE16" s="88">
        <f t="shared" si="12"/>
        <v>13.739039999999989</v>
      </c>
      <c r="AF16" s="88">
        <f t="shared" si="13"/>
        <v>29.300681250000025</v>
      </c>
      <c r="AG16" s="88">
        <f t="shared" si="14"/>
        <v>30.517863750000004</v>
      </c>
      <c r="AH16" s="87">
        <f t="shared" si="15"/>
        <v>73.557585000000017</v>
      </c>
      <c r="AI16" s="173">
        <f t="shared" si="2"/>
        <v>3.9265128034712937E-2</v>
      </c>
      <c r="AJ16" s="173">
        <f t="shared" si="3"/>
        <v>8.3739111377910236E-2</v>
      </c>
      <c r="AK16" s="173">
        <f t="shared" si="4"/>
        <v>8.7217726092192249E-2</v>
      </c>
      <c r="AL16" s="181">
        <f t="shared" si="16"/>
        <v>0.21022196550481542</v>
      </c>
      <c r="AM16" s="66"/>
    </row>
    <row r="17" spans="2:39" x14ac:dyDescent="0.3">
      <c r="B17" s="66"/>
      <c r="C17" s="77">
        <v>500</v>
      </c>
      <c r="D17" s="78">
        <v>0.91174084953119194</v>
      </c>
      <c r="E17" s="79">
        <f>IF($C17&lt;=Tariffs!$E$9,Tariffs!$G$9,IF(AND($C17&gt;Tariffs!$E$9,$C17&lt;=Tariffs!$E$10),Tariffs!$G$10,Tariffs!$G$11))</f>
        <v>12</v>
      </c>
      <c r="F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G17" s="80">
        <f t="shared" si="5"/>
        <v>104.60000000000001</v>
      </c>
      <c r="H17" s="67">
        <f>$C17*Tariffs!$J$8</f>
        <v>225.54550624447808</v>
      </c>
      <c r="I17" s="67">
        <f t="shared" si="6"/>
        <v>330.1455062444781</v>
      </c>
      <c r="J17" s="67">
        <f>I17*Tariffs!$I$8</f>
        <v>57.775463592783666</v>
      </c>
      <c r="K17" s="81">
        <f t="shared" si="7"/>
        <v>387.92096983726174</v>
      </c>
      <c r="L17" s="81"/>
      <c r="M17" s="79">
        <f>IF($C17&lt;=Tariffs!$E$9,Tariffs!$G$9,IF(AND($C17&gt;Tariffs!$E$9,$C17&lt;=Tariffs!$E$10),Tariffs!$G$10,Tariffs!$G$11))</f>
        <v>12</v>
      </c>
      <c r="N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O17" s="80">
        <f t="shared" si="8"/>
        <v>104.60000000000001</v>
      </c>
      <c r="P17" s="67">
        <f>$C17*Tariffs!$J$8</f>
        <v>225.54550624447808</v>
      </c>
      <c r="Q17" s="67"/>
      <c r="R17" s="67">
        <f>$C17*Tariffs!K$8</f>
        <v>12.992000000000001</v>
      </c>
      <c r="S17" s="67">
        <f>$C17*Tariffs!L$8</f>
        <v>27.7075</v>
      </c>
      <c r="T17" s="67">
        <f>$C17*Tariffs!M$8</f>
        <v>28.858499999999999</v>
      </c>
      <c r="U17" s="67"/>
      <c r="V17" s="67">
        <f t="shared" si="9"/>
        <v>343.13750624447812</v>
      </c>
      <c r="W17" s="67">
        <f t="shared" si="10"/>
        <v>357.85300624447808</v>
      </c>
      <c r="X17" s="67">
        <f t="shared" si="11"/>
        <v>359.00400624447809</v>
      </c>
      <c r="Y17" s="67"/>
      <c r="Z17" s="67">
        <f>V17*(1+Tariffs!$I$8)</f>
        <v>403.1865698372618</v>
      </c>
      <c r="AA17" s="67">
        <f>W17*(1+Tariffs!$I$8)</f>
        <v>420.47728233726178</v>
      </c>
      <c r="AB17" s="67">
        <f>X17*(1+Tariffs!$I$8)</f>
        <v>421.82970733726177</v>
      </c>
      <c r="AC17" s="82"/>
      <c r="AD17" s="83">
        <f t="shared" si="0"/>
        <v>500</v>
      </c>
      <c r="AE17" s="67">
        <f t="shared" si="12"/>
        <v>15.265600000000063</v>
      </c>
      <c r="AF17" s="67">
        <f t="shared" si="13"/>
        <v>32.556312500000047</v>
      </c>
      <c r="AG17" s="67">
        <f t="shared" si="14"/>
        <v>33.908737500000029</v>
      </c>
      <c r="AH17" s="80">
        <f t="shared" si="15"/>
        <v>81.730650000000139</v>
      </c>
      <c r="AI17" s="172">
        <f t="shared" si="2"/>
        <v>3.9352345418202539E-2</v>
      </c>
      <c r="AJ17" s="172">
        <f t="shared" si="3"/>
        <v>8.3925116277312473E-2</v>
      </c>
      <c r="AK17" s="172">
        <f t="shared" si="4"/>
        <v>8.7411457839531748E-2</v>
      </c>
      <c r="AL17" s="180">
        <f t="shared" si="16"/>
        <v>0.21068891953504676</v>
      </c>
      <c r="AM17" s="66"/>
    </row>
    <row r="18" spans="2:39" x14ac:dyDescent="0.3">
      <c r="B18" s="66"/>
      <c r="C18" s="84">
        <v>600</v>
      </c>
      <c r="D18" s="85">
        <v>0.94252602837402377</v>
      </c>
      <c r="E18" s="86">
        <f>IF($C18&lt;=Tariffs!$E$9,Tariffs!$G$9,IF(AND($C18&gt;Tariffs!$E$9,$C18&lt;=Tariffs!$E$10),Tariffs!$G$10,Tariffs!$G$11))</f>
        <v>17</v>
      </c>
      <c r="F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G18" s="87">
        <f t="shared" si="5"/>
        <v>132.10000000000002</v>
      </c>
      <c r="H18" s="88">
        <f>$C18*Tariffs!$J$8</f>
        <v>270.6546074933737</v>
      </c>
      <c r="I18" s="88">
        <f t="shared" si="6"/>
        <v>402.75460749337373</v>
      </c>
      <c r="J18" s="88">
        <f>I18*Tariffs!$I$8</f>
        <v>70.482056311340401</v>
      </c>
      <c r="K18" s="89">
        <f t="shared" si="7"/>
        <v>473.23666380471411</v>
      </c>
      <c r="L18" s="81"/>
      <c r="M18" s="86">
        <f>IF($C18&lt;=Tariffs!$E$9,Tariffs!$G$9,IF(AND($C18&gt;Tariffs!$E$9,$C18&lt;=Tariffs!$E$10),Tariffs!$G$10,Tariffs!$G$11))</f>
        <v>17</v>
      </c>
      <c r="N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O18" s="87">
        <f t="shared" si="8"/>
        <v>132.10000000000002</v>
      </c>
      <c r="P18" s="88">
        <f>$C18*Tariffs!$J$8</f>
        <v>270.6546074933737</v>
      </c>
      <c r="Q18" s="67"/>
      <c r="R18" s="88">
        <f>$C18*Tariffs!K$8</f>
        <v>15.590400000000001</v>
      </c>
      <c r="S18" s="88">
        <f>$C18*Tariffs!L$8</f>
        <v>33.249000000000002</v>
      </c>
      <c r="T18" s="88">
        <f>$C18*Tariffs!M$8</f>
        <v>34.630199999999995</v>
      </c>
      <c r="U18" s="67"/>
      <c r="V18" s="88">
        <f t="shared" si="9"/>
        <v>418.34500749337371</v>
      </c>
      <c r="W18" s="88">
        <f t="shared" si="10"/>
        <v>436.00360749337375</v>
      </c>
      <c r="X18" s="88">
        <f t="shared" si="11"/>
        <v>437.38480749337373</v>
      </c>
      <c r="Y18" s="67"/>
      <c r="Z18" s="88">
        <f>V18*(1+Tariffs!$I$8)</f>
        <v>491.55538380471415</v>
      </c>
      <c r="AA18" s="88">
        <f>W18*(1+Tariffs!$I$8)</f>
        <v>512.30423880471415</v>
      </c>
      <c r="AB18" s="88">
        <f>X18*(1+Tariffs!$I$8)</f>
        <v>513.92714880471419</v>
      </c>
      <c r="AC18" s="82"/>
      <c r="AD18" s="90">
        <f t="shared" si="0"/>
        <v>600</v>
      </c>
      <c r="AE18" s="88">
        <f t="shared" si="12"/>
        <v>18.318720000000042</v>
      </c>
      <c r="AF18" s="88">
        <f t="shared" si="13"/>
        <v>39.067575000000033</v>
      </c>
      <c r="AG18" s="88">
        <f t="shared" si="14"/>
        <v>40.690485000000081</v>
      </c>
      <c r="AH18" s="87">
        <f t="shared" si="15"/>
        <v>98.076780000000156</v>
      </c>
      <c r="AI18" s="173">
        <f t="shared" si="2"/>
        <v>3.8709426807132186E-2</v>
      </c>
      <c r="AJ18" s="173">
        <f t="shared" si="3"/>
        <v>8.2553990398600341E-2</v>
      </c>
      <c r="AK18" s="173">
        <f t="shared" si="4"/>
        <v>8.5983373884977343E-2</v>
      </c>
      <c r="AL18" s="181">
        <f t="shared" si="16"/>
        <v>0.20724679109070987</v>
      </c>
      <c r="AM18" s="66"/>
    </row>
    <row r="19" spans="2:39" x14ac:dyDescent="0.3">
      <c r="B19" s="66"/>
      <c r="C19" s="77">
        <v>700</v>
      </c>
      <c r="D19" s="78">
        <v>0.96006202567078125</v>
      </c>
      <c r="E19" s="79">
        <f>IF($C19&lt;=Tariffs!$E$9,Tariffs!$G$9,IF(AND($C19&gt;Tariffs!$E$9,$C19&lt;=Tariffs!$E$10),Tariffs!$G$10,Tariffs!$G$11))</f>
        <v>17</v>
      </c>
      <c r="F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G19" s="80">
        <f t="shared" si="5"/>
        <v>154.60000000000002</v>
      </c>
      <c r="H19" s="67">
        <f>$C19*Tariffs!$J$8</f>
        <v>315.76370874226933</v>
      </c>
      <c r="I19" s="67">
        <f t="shared" si="6"/>
        <v>470.36370874226935</v>
      </c>
      <c r="J19" s="67">
        <f>I19*Tariffs!$I$8</f>
        <v>82.313649029897135</v>
      </c>
      <c r="K19" s="81">
        <f t="shared" si="7"/>
        <v>552.67735777216649</v>
      </c>
      <c r="L19" s="81"/>
      <c r="M19" s="79">
        <f>IF($C19&lt;=Tariffs!$E$9,Tariffs!$G$9,IF(AND($C19&gt;Tariffs!$E$9,$C19&lt;=Tariffs!$E$10),Tariffs!$G$10,Tariffs!$G$11))</f>
        <v>17</v>
      </c>
      <c r="N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O19" s="80">
        <f t="shared" si="8"/>
        <v>154.60000000000002</v>
      </c>
      <c r="P19" s="67">
        <f>$C19*Tariffs!$J$8</f>
        <v>315.76370874226933</v>
      </c>
      <c r="Q19" s="67"/>
      <c r="R19" s="67">
        <f>$C19*Tariffs!K$8</f>
        <v>18.188800000000001</v>
      </c>
      <c r="S19" s="67">
        <f>$C19*Tariffs!L$8</f>
        <v>38.790500000000002</v>
      </c>
      <c r="T19" s="67">
        <f>$C19*Tariffs!M$8</f>
        <v>40.401899999999998</v>
      </c>
      <c r="U19" s="67"/>
      <c r="V19" s="67">
        <f t="shared" si="9"/>
        <v>488.55250874226937</v>
      </c>
      <c r="W19" s="67">
        <f t="shared" si="10"/>
        <v>509.15420874226936</v>
      </c>
      <c r="X19" s="67">
        <f t="shared" si="11"/>
        <v>510.76560874226936</v>
      </c>
      <c r="Y19" s="67"/>
      <c r="Z19" s="67">
        <f>V19*(1+Tariffs!$I$8)</f>
        <v>574.04919777216651</v>
      </c>
      <c r="AA19" s="67">
        <f>W19*(1+Tariffs!$I$8)</f>
        <v>598.25619527216656</v>
      </c>
      <c r="AB19" s="67">
        <f>X19*(1+Tariffs!$I$8)</f>
        <v>600.14959027216651</v>
      </c>
      <c r="AC19" s="82"/>
      <c r="AD19" s="83">
        <f t="shared" si="0"/>
        <v>700</v>
      </c>
      <c r="AE19" s="67">
        <f t="shared" si="12"/>
        <v>21.37184000000002</v>
      </c>
      <c r="AF19" s="67">
        <f t="shared" si="13"/>
        <v>45.578837500000077</v>
      </c>
      <c r="AG19" s="67">
        <f t="shared" si="14"/>
        <v>47.472232500000018</v>
      </c>
      <c r="AH19" s="80">
        <f t="shared" si="15"/>
        <v>114.42291000000012</v>
      </c>
      <c r="AI19" s="172">
        <f t="shared" si="2"/>
        <v>3.8669650021758706E-2</v>
      </c>
      <c r="AJ19" s="172">
        <f t="shared" si="3"/>
        <v>8.2469160096819705E-2</v>
      </c>
      <c r="AK19" s="172">
        <f t="shared" si="4"/>
        <v>8.5895019639233627E-2</v>
      </c>
      <c r="AL19" s="180">
        <f t="shared" si="16"/>
        <v>0.20703382975781204</v>
      </c>
      <c r="AM19" s="66"/>
    </row>
    <row r="20" spans="2:39" x14ac:dyDescent="0.3">
      <c r="B20" s="66"/>
      <c r="C20" s="84">
        <v>800</v>
      </c>
      <c r="D20" s="85">
        <v>0.97093942689253809</v>
      </c>
      <c r="E20" s="86">
        <f>IF($C20&lt;=Tariffs!$E$9,Tariffs!$G$9,IF(AND($C20&gt;Tariffs!$E$9,$C20&lt;=Tariffs!$E$10),Tariffs!$G$10,Tariffs!$G$11))</f>
        <v>17</v>
      </c>
      <c r="F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G20" s="87">
        <f t="shared" si="5"/>
        <v>177.10000000000002</v>
      </c>
      <c r="H20" s="88">
        <f>$C20*Tariffs!$J$8</f>
        <v>360.87280999116496</v>
      </c>
      <c r="I20" s="88">
        <f t="shared" si="6"/>
        <v>537.97280999116492</v>
      </c>
      <c r="J20" s="88">
        <f>I20*Tariffs!$I$8</f>
        <v>94.145241748453856</v>
      </c>
      <c r="K20" s="89">
        <f t="shared" si="7"/>
        <v>632.11805173961875</v>
      </c>
      <c r="L20" s="81"/>
      <c r="M20" s="86">
        <f>IF($C20&lt;=Tariffs!$E$9,Tariffs!$G$9,IF(AND($C20&gt;Tariffs!$E$9,$C20&lt;=Tariffs!$E$10),Tariffs!$G$10,Tariffs!$G$11))</f>
        <v>17</v>
      </c>
      <c r="N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O20" s="87">
        <f t="shared" si="8"/>
        <v>177.10000000000002</v>
      </c>
      <c r="P20" s="88">
        <f>$C20*Tariffs!$J$8</f>
        <v>360.87280999116496</v>
      </c>
      <c r="Q20" s="67"/>
      <c r="R20" s="88">
        <f>$C20*Tariffs!K$8</f>
        <v>20.787199999999999</v>
      </c>
      <c r="S20" s="88">
        <f>$C20*Tariffs!L$8</f>
        <v>44.332000000000001</v>
      </c>
      <c r="T20" s="88">
        <f>$C20*Tariffs!M$8</f>
        <v>46.1736</v>
      </c>
      <c r="U20" s="67"/>
      <c r="V20" s="88">
        <f t="shared" si="9"/>
        <v>558.76000999116491</v>
      </c>
      <c r="W20" s="88">
        <f t="shared" si="10"/>
        <v>582.30480999116492</v>
      </c>
      <c r="X20" s="88">
        <f t="shared" si="11"/>
        <v>584.14640999116489</v>
      </c>
      <c r="Y20" s="67"/>
      <c r="Z20" s="88">
        <f>V20*(1+Tariffs!$I$8)</f>
        <v>656.54301173961881</v>
      </c>
      <c r="AA20" s="88">
        <f>W20*(1+Tariffs!$I$8)</f>
        <v>684.20815173961876</v>
      </c>
      <c r="AB20" s="88">
        <f>X20*(1+Tariffs!$I$8)</f>
        <v>686.37203173961882</v>
      </c>
      <c r="AC20" s="82"/>
      <c r="AD20" s="90">
        <f t="shared" si="0"/>
        <v>800</v>
      </c>
      <c r="AE20" s="88">
        <f t="shared" si="12"/>
        <v>24.424960000000056</v>
      </c>
      <c r="AF20" s="88">
        <f t="shared" si="13"/>
        <v>52.090100000000007</v>
      </c>
      <c r="AG20" s="88">
        <f t="shared" si="14"/>
        <v>54.25398000000007</v>
      </c>
      <c r="AH20" s="87">
        <f t="shared" si="15"/>
        <v>130.76904000000013</v>
      </c>
      <c r="AI20" s="173">
        <f t="shared" si="2"/>
        <v>3.8639871037983164E-2</v>
      </c>
      <c r="AJ20" s="173">
        <f t="shared" si="3"/>
        <v>8.2405651692188719E-2</v>
      </c>
      <c r="AK20" s="173">
        <f t="shared" si="4"/>
        <v>8.5828873025680208E-2</v>
      </c>
      <c r="AL20" s="181">
        <f t="shared" si="16"/>
        <v>0.20687439575585209</v>
      </c>
      <c r="AM20" s="66"/>
    </row>
    <row r="21" spans="2:39" x14ac:dyDescent="0.3">
      <c r="B21" s="66"/>
      <c r="C21" s="77">
        <v>900</v>
      </c>
      <c r="D21" s="78">
        <v>0.97797243923968424</v>
      </c>
      <c r="E21" s="79">
        <f>IF($C21&lt;=Tariffs!$E$9,Tariffs!$G$9,IF(AND($C21&gt;Tariffs!$E$9,$C21&lt;=Tariffs!$E$10),Tariffs!$G$10,Tariffs!$G$11))</f>
        <v>17</v>
      </c>
      <c r="F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G21" s="80">
        <f t="shared" si="5"/>
        <v>199.60000000000002</v>
      </c>
      <c r="H21" s="67">
        <f>$C21*Tariffs!$J$8</f>
        <v>405.98191124006053</v>
      </c>
      <c r="I21" s="67">
        <f t="shared" si="6"/>
        <v>605.58191124006055</v>
      </c>
      <c r="J21" s="67">
        <f>I21*Tariffs!$I$8</f>
        <v>105.97683446701059</v>
      </c>
      <c r="K21" s="81">
        <f t="shared" si="7"/>
        <v>711.55874570707113</v>
      </c>
      <c r="L21" s="81"/>
      <c r="M21" s="79">
        <f>IF($C21&lt;=Tariffs!$E$9,Tariffs!$G$9,IF(AND($C21&gt;Tariffs!$E$9,$C21&lt;=Tariffs!$E$10),Tariffs!$G$10,Tariffs!$G$11))</f>
        <v>17</v>
      </c>
      <c r="N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O21" s="80">
        <f t="shared" si="8"/>
        <v>199.60000000000002</v>
      </c>
      <c r="P21" s="67">
        <f>$C21*Tariffs!$J$8</f>
        <v>405.98191124006053</v>
      </c>
      <c r="Q21" s="67"/>
      <c r="R21" s="67">
        <f>$C21*Tariffs!K$8</f>
        <v>23.3856</v>
      </c>
      <c r="S21" s="67">
        <f>$C21*Tariffs!L$8</f>
        <v>49.8735</v>
      </c>
      <c r="T21" s="67">
        <f>$C21*Tariffs!M$8</f>
        <v>51.945299999999996</v>
      </c>
      <c r="U21" s="67"/>
      <c r="V21" s="67">
        <f t="shared" si="9"/>
        <v>628.9675112400605</v>
      </c>
      <c r="W21" s="67">
        <f t="shared" si="10"/>
        <v>655.45541124006058</v>
      </c>
      <c r="X21" s="67">
        <f t="shared" si="11"/>
        <v>657.52721124006052</v>
      </c>
      <c r="Y21" s="67"/>
      <c r="Z21" s="67">
        <f>V21*(1+Tariffs!$I$8)</f>
        <v>739.0368257070711</v>
      </c>
      <c r="AA21" s="67">
        <f>W21*(1+Tariffs!$I$8)</f>
        <v>770.16010820707118</v>
      </c>
      <c r="AB21" s="67">
        <f>X21*(1+Tariffs!$I$8)</f>
        <v>772.59447320707113</v>
      </c>
      <c r="AC21" s="82"/>
      <c r="AD21" s="83">
        <f t="shared" si="0"/>
        <v>900</v>
      </c>
      <c r="AE21" s="67">
        <f t="shared" si="12"/>
        <v>27.478079999999977</v>
      </c>
      <c r="AF21" s="67">
        <f t="shared" si="13"/>
        <v>58.60136250000005</v>
      </c>
      <c r="AG21" s="67">
        <f t="shared" si="14"/>
        <v>61.035727500000007</v>
      </c>
      <c r="AH21" s="80">
        <f t="shared" si="15"/>
        <v>147.11517000000003</v>
      </c>
      <c r="AI21" s="172">
        <f t="shared" si="2"/>
        <v>3.8616741296173984E-2</v>
      </c>
      <c r="AJ21" s="172">
        <f t="shared" si="3"/>
        <v>8.2356323850349522E-2</v>
      </c>
      <c r="AK21" s="172">
        <f t="shared" si="4"/>
        <v>8.5777496051080426E-2</v>
      </c>
      <c r="AL21" s="180">
        <f t="shared" si="16"/>
        <v>0.20675056119760393</v>
      </c>
      <c r="AM21" s="66"/>
    </row>
    <row r="22" spans="2:39" x14ac:dyDescent="0.3">
      <c r="B22" s="66"/>
      <c r="C22" s="84">
        <v>1000</v>
      </c>
      <c r="D22" s="85">
        <v>0.98278472639334025</v>
      </c>
      <c r="E22" s="86">
        <f>IF($C22&lt;=Tariffs!$E$9,Tariffs!$G$9,IF(AND($C22&gt;Tariffs!$E$9,$C22&lt;=Tariffs!$E$10),Tariffs!$G$10,Tariffs!$G$11))</f>
        <v>17</v>
      </c>
      <c r="F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G22" s="87">
        <f t="shared" si="5"/>
        <v>222.10000000000002</v>
      </c>
      <c r="H22" s="88">
        <f>$C22*Tariffs!$J$8</f>
        <v>451.09101248895615</v>
      </c>
      <c r="I22" s="88">
        <f t="shared" si="6"/>
        <v>673.19101248895618</v>
      </c>
      <c r="J22" s="88">
        <f>I22*Tariffs!$I$8</f>
        <v>117.80842718556733</v>
      </c>
      <c r="K22" s="89">
        <f t="shared" si="7"/>
        <v>790.9994396745235</v>
      </c>
      <c r="L22" s="81"/>
      <c r="M22" s="86">
        <f>IF($C22&lt;=Tariffs!$E$9,Tariffs!$G$9,IF(AND($C22&gt;Tariffs!$E$9,$C22&lt;=Tariffs!$E$10),Tariffs!$G$10,Tariffs!$G$11))</f>
        <v>17</v>
      </c>
      <c r="N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O22" s="87">
        <f t="shared" si="8"/>
        <v>222.10000000000002</v>
      </c>
      <c r="P22" s="88">
        <f>$C22*Tariffs!$J$8</f>
        <v>451.09101248895615</v>
      </c>
      <c r="Q22" s="67"/>
      <c r="R22" s="88">
        <f>$C22*Tariffs!K$8</f>
        <v>25.984000000000002</v>
      </c>
      <c r="S22" s="88">
        <f>$C22*Tariffs!L$8</f>
        <v>55.414999999999999</v>
      </c>
      <c r="T22" s="88">
        <f>$C22*Tariffs!M$8</f>
        <v>57.716999999999999</v>
      </c>
      <c r="U22" s="67"/>
      <c r="V22" s="88">
        <f t="shared" si="9"/>
        <v>699.17501248895621</v>
      </c>
      <c r="W22" s="88">
        <f t="shared" si="10"/>
        <v>728.60601248895614</v>
      </c>
      <c r="X22" s="88">
        <f t="shared" si="11"/>
        <v>730.90801248895616</v>
      </c>
      <c r="Y22" s="67"/>
      <c r="Z22" s="88">
        <f>V22*(1+Tariffs!$I$8)</f>
        <v>821.53063967452363</v>
      </c>
      <c r="AA22" s="88">
        <f>W22*(1+Tariffs!$I$8)</f>
        <v>856.11206467452348</v>
      </c>
      <c r="AB22" s="88">
        <f>X22*(1+Tariffs!$I$8)</f>
        <v>858.81691467452356</v>
      </c>
      <c r="AC22" s="82"/>
      <c r="AD22" s="90">
        <f t="shared" si="0"/>
        <v>1000</v>
      </c>
      <c r="AE22" s="88">
        <f t="shared" si="12"/>
        <v>30.531200000000126</v>
      </c>
      <c r="AF22" s="88">
        <f t="shared" si="13"/>
        <v>65.11262499999998</v>
      </c>
      <c r="AG22" s="88">
        <f t="shared" si="14"/>
        <v>67.817475000000059</v>
      </c>
      <c r="AH22" s="87">
        <f t="shared" si="15"/>
        <v>163.46130000000016</v>
      </c>
      <c r="AI22" s="173">
        <f t="shared" si="2"/>
        <v>3.8598257430577876E-2</v>
      </c>
      <c r="AJ22" s="173">
        <f t="shared" si="3"/>
        <v>8.2316904076180197E-2</v>
      </c>
      <c r="AK22" s="173">
        <f t="shared" si="4"/>
        <v>8.5736438736170539E-2</v>
      </c>
      <c r="AL22" s="181">
        <f t="shared" si="16"/>
        <v>0.20665160024292861</v>
      </c>
      <c r="AM22" s="66"/>
    </row>
    <row r="23" spans="2:39" x14ac:dyDescent="0.3">
      <c r="B23" s="66"/>
      <c r="C23" s="77">
        <v>1100</v>
      </c>
      <c r="D23" s="78">
        <v>0.98635993645661879</v>
      </c>
      <c r="E23" s="79">
        <f>IF($C23&lt;=Tariffs!$E$9,Tariffs!$G$9,IF(AND($C23&gt;Tariffs!$E$9,$C23&lt;=Tariffs!$E$10),Tariffs!$G$10,Tariffs!$G$11))</f>
        <v>17</v>
      </c>
      <c r="F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G23" s="80">
        <f t="shared" si="5"/>
        <v>244.60000000000002</v>
      </c>
      <c r="H23" s="67">
        <f>$C23*Tariffs!$J$8</f>
        <v>496.20011373785178</v>
      </c>
      <c r="I23" s="67">
        <f t="shared" si="6"/>
        <v>740.8001137378518</v>
      </c>
      <c r="J23" s="67">
        <f>I23*Tariffs!$I$8</f>
        <v>129.64001990412405</v>
      </c>
      <c r="K23" s="81">
        <f t="shared" si="7"/>
        <v>870.44013364197588</v>
      </c>
      <c r="L23" s="81"/>
      <c r="M23" s="79">
        <f>IF($C23&lt;=Tariffs!$E$9,Tariffs!$G$9,IF(AND($C23&gt;Tariffs!$E$9,$C23&lt;=Tariffs!$E$10),Tariffs!$G$10,Tariffs!$G$11))</f>
        <v>17</v>
      </c>
      <c r="N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O23" s="80">
        <f t="shared" si="8"/>
        <v>244.60000000000002</v>
      </c>
      <c r="P23" s="67">
        <f>$C23*Tariffs!$J$8</f>
        <v>496.20011373785178</v>
      </c>
      <c r="Q23" s="67"/>
      <c r="R23" s="67">
        <f>$C23*Tariffs!K$8</f>
        <v>28.5824</v>
      </c>
      <c r="S23" s="67">
        <f>$C23*Tariffs!L$8</f>
        <v>60.956499999999998</v>
      </c>
      <c r="T23" s="67">
        <f>$C23*Tariffs!M$8</f>
        <v>63.488699999999994</v>
      </c>
      <c r="U23" s="67"/>
      <c r="V23" s="67">
        <f t="shared" si="9"/>
        <v>769.38251373785181</v>
      </c>
      <c r="W23" s="67">
        <f t="shared" si="10"/>
        <v>801.75661373785181</v>
      </c>
      <c r="X23" s="67">
        <f t="shared" si="11"/>
        <v>804.2888137378518</v>
      </c>
      <c r="Y23" s="67"/>
      <c r="Z23" s="67">
        <f>V23*(1+Tariffs!$I$8)</f>
        <v>904.02445364197592</v>
      </c>
      <c r="AA23" s="67">
        <f>W23*(1+Tariffs!$I$8)</f>
        <v>942.0640211419759</v>
      </c>
      <c r="AB23" s="67">
        <f>X23*(1+Tariffs!$I$8)</f>
        <v>945.03935614197587</v>
      </c>
      <c r="AC23" s="82"/>
      <c r="AD23" s="83">
        <f t="shared" si="0"/>
        <v>1100</v>
      </c>
      <c r="AE23" s="67">
        <f t="shared" si="12"/>
        <v>33.584320000000048</v>
      </c>
      <c r="AF23" s="67">
        <f t="shared" si="13"/>
        <v>71.623887500000023</v>
      </c>
      <c r="AG23" s="67">
        <f t="shared" si="14"/>
        <v>74.599222499999996</v>
      </c>
      <c r="AH23" s="80">
        <f t="shared" si="15"/>
        <v>179.80743000000007</v>
      </c>
      <c r="AI23" s="172">
        <f t="shared" si="2"/>
        <v>3.8583147423914221E-2</v>
      </c>
      <c r="AJ23" s="172">
        <f t="shared" si="3"/>
        <v>8.2284679591141163E-2</v>
      </c>
      <c r="AK23" s="172">
        <f t="shared" si="4"/>
        <v>8.5702875610608853E-2</v>
      </c>
      <c r="AL23" s="180">
        <f t="shared" si="16"/>
        <v>0.20657070262566424</v>
      </c>
      <c r="AM23" s="66"/>
    </row>
    <row r="24" spans="2:39" x14ac:dyDescent="0.3">
      <c r="B24" s="66"/>
      <c r="C24" s="84">
        <v>1200</v>
      </c>
      <c r="D24" s="85">
        <v>0.98893646449381123</v>
      </c>
      <c r="E24" s="86">
        <f>IF($C24&lt;=Tariffs!$E$9,Tariffs!$G$9,IF(AND($C24&gt;Tariffs!$E$9,$C24&lt;=Tariffs!$E$10),Tariffs!$G$10,Tariffs!$G$11))</f>
        <v>17</v>
      </c>
      <c r="F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G24" s="87">
        <f t="shared" si="5"/>
        <v>267.10000000000002</v>
      </c>
      <c r="H24" s="88">
        <f>$C24*Tariffs!$J$8</f>
        <v>541.30921498674741</v>
      </c>
      <c r="I24" s="88">
        <f t="shared" si="6"/>
        <v>808.40921498674743</v>
      </c>
      <c r="J24" s="88">
        <f>I24*Tariffs!$I$8</f>
        <v>141.47161262268079</v>
      </c>
      <c r="K24" s="89">
        <f t="shared" si="7"/>
        <v>949.88082760942825</v>
      </c>
      <c r="L24" s="81"/>
      <c r="M24" s="86">
        <f>IF($C24&lt;=Tariffs!$E$9,Tariffs!$G$9,IF(AND($C24&gt;Tariffs!$E$9,$C24&lt;=Tariffs!$E$10),Tariffs!$G$10,Tariffs!$G$11))</f>
        <v>17</v>
      </c>
      <c r="N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O24" s="87">
        <f t="shared" si="8"/>
        <v>267.10000000000002</v>
      </c>
      <c r="P24" s="88">
        <f>$C24*Tariffs!$J$8</f>
        <v>541.30921498674741</v>
      </c>
      <c r="Q24" s="67"/>
      <c r="R24" s="88">
        <f>$C24*Tariffs!K$8</f>
        <v>31.180800000000001</v>
      </c>
      <c r="S24" s="88">
        <f>$C24*Tariffs!L$8</f>
        <v>66.498000000000005</v>
      </c>
      <c r="T24" s="88">
        <f>$C24*Tariffs!M$8</f>
        <v>69.26039999999999</v>
      </c>
      <c r="U24" s="67"/>
      <c r="V24" s="88">
        <f t="shared" si="9"/>
        <v>839.59001498674741</v>
      </c>
      <c r="W24" s="88">
        <f t="shared" si="10"/>
        <v>874.90721498674748</v>
      </c>
      <c r="X24" s="88">
        <f t="shared" si="11"/>
        <v>877.66961498674743</v>
      </c>
      <c r="Y24" s="67"/>
      <c r="Z24" s="88">
        <f>V24*(1+Tariffs!$I$8)</f>
        <v>986.51826760942822</v>
      </c>
      <c r="AA24" s="88">
        <f>W24*(1+Tariffs!$I$8)</f>
        <v>1028.0159776094283</v>
      </c>
      <c r="AB24" s="88">
        <f>X24*(1+Tariffs!$I$8)</f>
        <v>1031.2617976094282</v>
      </c>
      <c r="AC24" s="82"/>
      <c r="AD24" s="90">
        <f t="shared" si="0"/>
        <v>1200</v>
      </c>
      <c r="AE24" s="88">
        <f t="shared" si="12"/>
        <v>36.63743999999997</v>
      </c>
      <c r="AF24" s="88">
        <f t="shared" si="13"/>
        <v>78.135150000000067</v>
      </c>
      <c r="AG24" s="88">
        <f t="shared" si="14"/>
        <v>81.380969999999934</v>
      </c>
      <c r="AH24" s="87">
        <f t="shared" si="15"/>
        <v>196.15355999999997</v>
      </c>
      <c r="AI24" s="173">
        <f t="shared" si="2"/>
        <v>3.8570564785695982E-2</v>
      </c>
      <c r="AJ24" s="173">
        <f t="shared" si="3"/>
        <v>8.2257845120048634E-2</v>
      </c>
      <c r="AK24" s="173">
        <f t="shared" si="4"/>
        <v>8.567492640609653E-2</v>
      </c>
      <c r="AL24" s="181">
        <f t="shared" si="16"/>
        <v>0.20650333631184115</v>
      </c>
      <c r="AM24" s="66"/>
    </row>
    <row r="25" spans="2:39" x14ac:dyDescent="0.3">
      <c r="B25" s="66"/>
      <c r="C25" s="77">
        <v>1300</v>
      </c>
      <c r="D25" s="78">
        <v>0.99089874939237876</v>
      </c>
      <c r="E25" s="79">
        <f>IF($C25&lt;=Tariffs!$E$9,Tariffs!$G$9,IF(AND($C25&gt;Tariffs!$E$9,$C25&lt;=Tariffs!$E$10),Tariffs!$G$10,Tariffs!$G$11))</f>
        <v>17</v>
      </c>
      <c r="F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G25" s="80">
        <f t="shared" si="5"/>
        <v>289.60000000000002</v>
      </c>
      <c r="H25" s="67">
        <f>$C25*Tariffs!$J$8</f>
        <v>586.41831623564303</v>
      </c>
      <c r="I25" s="67">
        <f t="shared" si="6"/>
        <v>876.01831623564306</v>
      </c>
      <c r="J25" s="67">
        <f>I25*Tariffs!$I$8</f>
        <v>153.30320534123751</v>
      </c>
      <c r="K25" s="81">
        <f t="shared" si="7"/>
        <v>1029.3215215768805</v>
      </c>
      <c r="L25" s="81"/>
      <c r="M25" s="79">
        <f>IF($C25&lt;=Tariffs!$E$9,Tariffs!$G$9,IF(AND($C25&gt;Tariffs!$E$9,$C25&lt;=Tariffs!$E$10),Tariffs!$G$10,Tariffs!$G$11))</f>
        <v>17</v>
      </c>
      <c r="N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O25" s="80">
        <f t="shared" si="8"/>
        <v>289.60000000000002</v>
      </c>
      <c r="P25" s="67">
        <f>$C25*Tariffs!$J$8</f>
        <v>586.41831623564303</v>
      </c>
      <c r="Q25" s="67"/>
      <c r="R25" s="67">
        <f>$C25*Tariffs!K$8</f>
        <v>33.779200000000003</v>
      </c>
      <c r="S25" s="67">
        <f>$C25*Tariffs!L$8</f>
        <v>72.039500000000004</v>
      </c>
      <c r="T25" s="67">
        <f>$C25*Tariffs!M$8</f>
        <v>75.0321</v>
      </c>
      <c r="U25" s="67"/>
      <c r="V25" s="67">
        <f t="shared" si="9"/>
        <v>909.79751623564312</v>
      </c>
      <c r="W25" s="67">
        <f t="shared" si="10"/>
        <v>948.05781623564303</v>
      </c>
      <c r="X25" s="67">
        <f t="shared" si="11"/>
        <v>951.05041623564307</v>
      </c>
      <c r="Y25" s="67"/>
      <c r="Z25" s="67">
        <f>V25*(1+Tariffs!$I$8)</f>
        <v>1069.0120815768807</v>
      </c>
      <c r="AA25" s="67">
        <f>W25*(1+Tariffs!$I$8)</f>
        <v>1113.9679340768805</v>
      </c>
      <c r="AB25" s="67">
        <f>X25*(1+Tariffs!$I$8)</f>
        <v>1117.4842390768806</v>
      </c>
      <c r="AC25" s="82"/>
      <c r="AD25" s="83">
        <f t="shared" si="0"/>
        <v>1300</v>
      </c>
      <c r="AE25" s="67">
        <f t="shared" si="12"/>
        <v>39.690560000000232</v>
      </c>
      <c r="AF25" s="67">
        <f t="shared" si="13"/>
        <v>84.646412499999997</v>
      </c>
      <c r="AG25" s="67">
        <f t="shared" si="14"/>
        <v>88.162717500000099</v>
      </c>
      <c r="AH25" s="80">
        <f t="shared" si="15"/>
        <v>212.49969000000033</v>
      </c>
      <c r="AI25" s="172">
        <f t="shared" si="2"/>
        <v>3.8559924346277974E-2</v>
      </c>
      <c r="AJ25" s="172">
        <f t="shared" si="3"/>
        <v>8.2235152695850466E-2</v>
      </c>
      <c r="AK25" s="172">
        <f t="shared" si="4"/>
        <v>8.5651291313658895E-2</v>
      </c>
      <c r="AL25" s="180">
        <f t="shared" si="16"/>
        <v>0.20644636835578734</v>
      </c>
      <c r="AM25" s="66"/>
    </row>
    <row r="26" spans="2:39" x14ac:dyDescent="0.3">
      <c r="B26" s="66"/>
      <c r="C26" s="84">
        <v>1400</v>
      </c>
      <c r="D26" s="85">
        <v>0.99241359610721602</v>
      </c>
      <c r="E26" s="86">
        <f>IF($C26&lt;=Tariffs!$E$9,Tariffs!$G$9,IF(AND($C26&gt;Tariffs!$E$9,$C26&lt;=Tariffs!$E$10),Tariffs!$G$10,Tariffs!$G$11))</f>
        <v>17</v>
      </c>
      <c r="F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G26" s="87">
        <f t="shared" si="5"/>
        <v>312.10000000000002</v>
      </c>
      <c r="H26" s="88">
        <f>$C26*Tariffs!$J$8</f>
        <v>631.52741748453866</v>
      </c>
      <c r="I26" s="88">
        <f t="shared" si="6"/>
        <v>943.62741748453868</v>
      </c>
      <c r="J26" s="88">
        <f>I26*Tariffs!$I$8</f>
        <v>165.13479805979426</v>
      </c>
      <c r="K26" s="89">
        <f t="shared" si="7"/>
        <v>1108.762215544333</v>
      </c>
      <c r="L26" s="81"/>
      <c r="M26" s="86">
        <f>IF($C26&lt;=Tariffs!$E$9,Tariffs!$G$9,IF(AND($C26&gt;Tariffs!$E$9,$C26&lt;=Tariffs!$E$10),Tariffs!$G$10,Tariffs!$G$11))</f>
        <v>17</v>
      </c>
      <c r="N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O26" s="87">
        <f t="shared" si="8"/>
        <v>312.10000000000002</v>
      </c>
      <c r="P26" s="88">
        <f>$C26*Tariffs!$J$8</f>
        <v>631.52741748453866</v>
      </c>
      <c r="Q26" s="67"/>
      <c r="R26" s="88">
        <f>$C26*Tariffs!K$8</f>
        <v>36.377600000000001</v>
      </c>
      <c r="S26" s="88">
        <f>$C26*Tariffs!L$8</f>
        <v>77.581000000000003</v>
      </c>
      <c r="T26" s="88">
        <f>$C26*Tariffs!M$8</f>
        <v>80.803799999999995</v>
      </c>
      <c r="U26" s="67"/>
      <c r="V26" s="88">
        <f t="shared" si="9"/>
        <v>980.00501748453871</v>
      </c>
      <c r="W26" s="88">
        <f t="shared" si="10"/>
        <v>1021.2084174845387</v>
      </c>
      <c r="X26" s="88">
        <f t="shared" si="11"/>
        <v>1024.4312174845386</v>
      </c>
      <c r="Y26" s="67"/>
      <c r="Z26" s="88">
        <f>V26*(1+Tariffs!$I$8)</f>
        <v>1151.505895544333</v>
      </c>
      <c r="AA26" s="88">
        <f>W26*(1+Tariffs!$I$8)</f>
        <v>1199.9198905443329</v>
      </c>
      <c r="AB26" s="88">
        <f>X26*(1+Tariffs!$I$8)</f>
        <v>1203.7066805443328</v>
      </c>
      <c r="AC26" s="82"/>
      <c r="AD26" s="90">
        <f t="shared" si="0"/>
        <v>1400</v>
      </c>
      <c r="AE26" s="88">
        <f t="shared" si="12"/>
        <v>42.74368000000004</v>
      </c>
      <c r="AF26" s="88">
        <f t="shared" si="13"/>
        <v>91.157674999999927</v>
      </c>
      <c r="AG26" s="88">
        <f t="shared" si="14"/>
        <v>94.944464999999809</v>
      </c>
      <c r="AH26" s="87">
        <f t="shared" si="15"/>
        <v>228.84581999999978</v>
      </c>
      <c r="AI26" s="173">
        <f t="shared" si="2"/>
        <v>3.8550808641161671E-2</v>
      </c>
      <c r="AJ26" s="173">
        <f t="shared" si="3"/>
        <v>8.2215712009312325E-2</v>
      </c>
      <c r="AK26" s="173">
        <f t="shared" si="4"/>
        <v>8.5631043039636756E-2</v>
      </c>
      <c r="AL26" s="181">
        <f t="shared" si="16"/>
        <v>0.20639756369011075</v>
      </c>
      <c r="AM26" s="66"/>
    </row>
    <row r="27" spans="2:39" x14ac:dyDescent="0.3">
      <c r="B27" s="66"/>
      <c r="C27" s="77">
        <v>1500</v>
      </c>
      <c r="D27" s="78">
        <v>0.99364494598884179</v>
      </c>
      <c r="E27" s="79">
        <f>IF($C27&lt;=Tariffs!$E$9,Tariffs!$G$9,IF(AND($C27&gt;Tariffs!$E$9,$C27&lt;=Tariffs!$E$10),Tariffs!$G$10,Tariffs!$G$11))</f>
        <v>17</v>
      </c>
      <c r="F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G27" s="80">
        <f t="shared" si="5"/>
        <v>334.6</v>
      </c>
      <c r="H27" s="67">
        <f>$C27*Tariffs!$J$8</f>
        <v>676.63651873343429</v>
      </c>
      <c r="I27" s="67">
        <f t="shared" si="6"/>
        <v>1011.2365187334343</v>
      </c>
      <c r="J27" s="67">
        <f>I27*Tariffs!$I$8</f>
        <v>176.96639077835098</v>
      </c>
      <c r="K27" s="81">
        <f t="shared" si="7"/>
        <v>1188.2029095117853</v>
      </c>
      <c r="L27" s="81"/>
      <c r="M27" s="79">
        <f>IF($C27&lt;=Tariffs!$E$9,Tariffs!$G$9,IF(AND($C27&gt;Tariffs!$E$9,$C27&lt;=Tariffs!$E$10),Tariffs!$G$10,Tariffs!$G$11))</f>
        <v>17</v>
      </c>
      <c r="N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O27" s="80">
        <f t="shared" si="8"/>
        <v>334.6</v>
      </c>
      <c r="P27" s="67">
        <f>$C27*Tariffs!$J$8</f>
        <v>676.63651873343429</v>
      </c>
      <c r="Q27" s="67"/>
      <c r="R27" s="67">
        <f>$C27*Tariffs!K$8</f>
        <v>38.975999999999999</v>
      </c>
      <c r="S27" s="67">
        <f>$C27*Tariffs!L$8</f>
        <v>83.122500000000002</v>
      </c>
      <c r="T27" s="67">
        <f>$C27*Tariffs!M$8</f>
        <v>86.575499999999991</v>
      </c>
      <c r="U27" s="67"/>
      <c r="V27" s="67">
        <f t="shared" si="9"/>
        <v>1050.2125187334343</v>
      </c>
      <c r="W27" s="67">
        <f t="shared" si="10"/>
        <v>1094.3590187334344</v>
      </c>
      <c r="X27" s="67">
        <f t="shared" si="11"/>
        <v>1097.8120187334343</v>
      </c>
      <c r="Y27" s="67"/>
      <c r="Z27" s="67">
        <f>V27*(1+Tariffs!$I$8)</f>
        <v>1233.9997095117853</v>
      </c>
      <c r="AA27" s="67">
        <f>W27*(1+Tariffs!$I$8)</f>
        <v>1285.8718470117853</v>
      </c>
      <c r="AB27" s="67">
        <f>X27*(1+Tariffs!$I$8)</f>
        <v>1289.9291220117855</v>
      </c>
      <c r="AC27" s="82"/>
      <c r="AD27" s="83">
        <f t="shared" si="0"/>
        <v>1500</v>
      </c>
      <c r="AE27" s="67">
        <f t="shared" si="12"/>
        <v>45.796800000000076</v>
      </c>
      <c r="AF27" s="67">
        <f t="shared" si="13"/>
        <v>97.668937500000084</v>
      </c>
      <c r="AG27" s="67">
        <f t="shared" si="14"/>
        <v>101.7262125000002</v>
      </c>
      <c r="AH27" s="80">
        <f t="shared" si="15"/>
        <v>245.19195000000036</v>
      </c>
      <c r="AI27" s="172">
        <f t="shared" si="2"/>
        <v>3.8542911848967965E-2</v>
      </c>
      <c r="AJ27" s="172">
        <f t="shared" si="3"/>
        <v>8.2198870847851158E-2</v>
      </c>
      <c r="AK27" s="172">
        <f t="shared" si="4"/>
        <v>8.5613502277820608E-2</v>
      </c>
      <c r="AL27" s="180">
        <f t="shared" si="16"/>
        <v>0.20635528497463973</v>
      </c>
      <c r="AM27" s="66"/>
    </row>
    <row r="28" spans="2:39" x14ac:dyDescent="0.3">
      <c r="B28" s="66"/>
      <c r="C28" s="84">
        <v>1600</v>
      </c>
      <c r="D28" s="85">
        <v>0.9946185714766389</v>
      </c>
      <c r="E28" s="86">
        <f>IF($C28&lt;=Tariffs!$E$9,Tariffs!$G$9,IF(AND($C28&gt;Tariffs!$E$9,$C28&lt;=Tariffs!$E$10),Tariffs!$G$10,Tariffs!$G$11))</f>
        <v>17</v>
      </c>
      <c r="F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G28" s="87">
        <f t="shared" si="5"/>
        <v>360</v>
      </c>
      <c r="H28" s="88">
        <f>$C28*Tariffs!$J$8</f>
        <v>721.74561998232991</v>
      </c>
      <c r="I28" s="88">
        <f t="shared" si="6"/>
        <v>1081.74561998233</v>
      </c>
      <c r="J28" s="88">
        <f>I28*Tariffs!$I$8</f>
        <v>189.30548349690775</v>
      </c>
      <c r="K28" s="89">
        <f t="shared" si="7"/>
        <v>1271.0511034792378</v>
      </c>
      <c r="L28" s="81"/>
      <c r="M28" s="86">
        <f>IF($C28&lt;=Tariffs!$E$9,Tariffs!$G$9,IF(AND($C28&gt;Tariffs!$E$9,$C28&lt;=Tariffs!$E$10),Tariffs!$G$10,Tariffs!$G$11))</f>
        <v>17</v>
      </c>
      <c r="N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O28" s="87">
        <f t="shared" si="8"/>
        <v>360</v>
      </c>
      <c r="P28" s="88">
        <f>$C28*Tariffs!$J$8</f>
        <v>721.74561998232991</v>
      </c>
      <c r="Q28" s="67"/>
      <c r="R28" s="88">
        <f>$C28*Tariffs!K$8</f>
        <v>41.574399999999997</v>
      </c>
      <c r="S28" s="88">
        <f>$C28*Tariffs!L$8</f>
        <v>88.664000000000001</v>
      </c>
      <c r="T28" s="88">
        <f>$C28*Tariffs!M$8</f>
        <v>92.347200000000001</v>
      </c>
      <c r="U28" s="67"/>
      <c r="V28" s="88">
        <f t="shared" si="9"/>
        <v>1123.32001998233</v>
      </c>
      <c r="W28" s="88">
        <f t="shared" si="10"/>
        <v>1170.40961998233</v>
      </c>
      <c r="X28" s="88">
        <f t="shared" si="11"/>
        <v>1174.09281998233</v>
      </c>
      <c r="Y28" s="67"/>
      <c r="Z28" s="88">
        <f>V28*(1+Tariffs!$I$8)</f>
        <v>1319.9010234792379</v>
      </c>
      <c r="AA28" s="88">
        <f>W28*(1+Tariffs!$I$8)</f>
        <v>1375.2313034792378</v>
      </c>
      <c r="AB28" s="88">
        <f>X28*(1+Tariffs!$I$8)</f>
        <v>1379.5590634792377</v>
      </c>
      <c r="AC28" s="82"/>
      <c r="AD28" s="114">
        <f t="shared" si="0"/>
        <v>1600</v>
      </c>
      <c r="AE28" s="136">
        <f t="shared" si="12"/>
        <v>48.849920000000111</v>
      </c>
      <c r="AF28" s="136">
        <f t="shared" si="13"/>
        <v>104.18020000000001</v>
      </c>
      <c r="AG28" s="136">
        <f t="shared" si="14"/>
        <v>108.50795999999991</v>
      </c>
      <c r="AH28" s="183">
        <f t="shared" si="15"/>
        <v>261.53808000000004</v>
      </c>
      <c r="AI28" s="184">
        <f t="shared" si="2"/>
        <v>3.8432695480365542E-2</v>
      </c>
      <c r="AJ28" s="184">
        <f t="shared" si="3"/>
        <v>8.1963816965996417E-2</v>
      </c>
      <c r="AK28" s="184">
        <f t="shared" si="4"/>
        <v>8.5368683999393902E-2</v>
      </c>
      <c r="AL28" s="185">
        <f t="shared" si="16"/>
        <v>0.20576519644575586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AE5:AH5"/>
    <mergeCell ref="AI5:AL5"/>
    <mergeCell ref="AE4:AL4"/>
    <mergeCell ref="E4:J4"/>
    <mergeCell ref="N4:AB4"/>
    <mergeCell ref="R5:T5"/>
    <mergeCell ref="V5:X5"/>
    <mergeCell ref="Z5:A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0FF8-0D0F-42B7-B051-966EAC16DB02}">
  <dimension ref="B1:AM719"/>
  <sheetViews>
    <sheetView topLeftCell="AC1" workbookViewId="0">
      <selection activeCell="D7" sqref="D7:D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1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"Employee Tariff Bill Impacts"&amp;"-"&amp;'CETR Rate'!F2</f>
        <v>Employee Tariff Bill Impacts-Clean Energy Transistion Plan Project 1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 t="str">
        <f>C3</f>
        <v>Employee Tariff Bill Impacts-Clean Energy Transistion Plan Project 1</v>
      </c>
      <c r="AF3" s="66"/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2" t="s">
        <v>103</v>
      </c>
      <c r="F4" s="253"/>
      <c r="G4" s="253"/>
      <c r="H4" s="253"/>
      <c r="I4" s="253"/>
      <c r="J4" s="253"/>
      <c r="K4" s="74"/>
      <c r="L4" s="112"/>
      <c r="M4" s="74"/>
      <c r="N4" s="252" t="s">
        <v>113</v>
      </c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75"/>
      <c r="AD4" s="179"/>
      <c r="AE4" s="251" t="s">
        <v>152</v>
      </c>
      <c r="AF4" s="251"/>
      <c r="AG4" s="251"/>
      <c r="AH4" s="251"/>
      <c r="AI4" s="251"/>
      <c r="AJ4" s="251"/>
      <c r="AK4" s="251"/>
      <c r="AL4" s="251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4" t="s">
        <v>151</v>
      </c>
      <c r="S5" s="254"/>
      <c r="T5" s="254"/>
      <c r="U5" s="73"/>
      <c r="V5" s="255" t="s">
        <v>99</v>
      </c>
      <c r="W5" s="255"/>
      <c r="X5" s="255"/>
      <c r="Y5" s="73"/>
      <c r="Z5" s="255" t="s">
        <v>95</v>
      </c>
      <c r="AA5" s="255"/>
      <c r="AB5" s="255"/>
      <c r="AC5" s="75"/>
      <c r="AD5" s="178"/>
      <c r="AE5" s="250" t="s">
        <v>101</v>
      </c>
      <c r="AF5" s="250"/>
      <c r="AG5" s="250"/>
      <c r="AH5" s="250"/>
      <c r="AI5" s="250" t="s">
        <v>102</v>
      </c>
      <c r="AJ5" s="250"/>
      <c r="AK5" s="250"/>
      <c r="AL5" s="250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156</v>
      </c>
      <c r="AI6" s="176">
        <v>2024</v>
      </c>
      <c r="AJ6" s="176">
        <v>2025</v>
      </c>
      <c r="AK6" s="176">
        <v>2026</v>
      </c>
      <c r="AL6" s="176" t="s">
        <v>156</v>
      </c>
      <c r="AM6" s="66"/>
    </row>
    <row r="7" spans="2:39" x14ac:dyDescent="0.3">
      <c r="B7" s="66"/>
      <c r="C7" s="77">
        <v>15</v>
      </c>
      <c r="D7" s="78">
        <v>0</v>
      </c>
      <c r="E7" s="79"/>
      <c r="F7" s="67">
        <f>IF($C7&gt;Tariffs!$E$21,(Tariffs!$F$19*Tariffs!$H$19)+(Tariffs!$F$20*Tariffs!$H$20)+(Tariffs!$F$21*Tariffs!$H$21)+(($C7-Tariffs!$E$21)*Tariffs!$H$22),IF(AND($C7&gt;Tariffs!$E$19,$C7&lt;=Tariffs!$E$20),(Tariffs!$F$19*Tariffs!$H$19)+(($C7-Tariffs!$E$19)*Tariffs!$H$20),IF(AND($C7&gt;Tariffs!$E$20,$C7&lt;=Tariffs!$E$21),(Tariffs!$F$19*Tariffs!$H$19)+(Tariffs!$F$20*Tariffs!$H$20)+(($C7-Tariffs!$E$20)*Tariffs!$H$21),$C7*Tariffs!$H$19)))</f>
        <v>2.0012684411273489</v>
      </c>
      <c r="G7" s="80">
        <f>F7+E7</f>
        <v>2.0012684411273489</v>
      </c>
      <c r="H7" s="67">
        <f>$C7*Tariffs!$J$8</f>
        <v>6.7663651873343422</v>
      </c>
      <c r="I7" s="67">
        <f>H7+G7</f>
        <v>8.7676336284616916</v>
      </c>
      <c r="J7" s="67">
        <f>I7*Tariffs!$I$8</f>
        <v>1.534335884980796</v>
      </c>
      <c r="K7" s="81">
        <f>J7+I7</f>
        <v>10.301969513442488</v>
      </c>
      <c r="L7" s="81"/>
      <c r="M7" s="79"/>
      <c r="N7" s="67">
        <f>F7</f>
        <v>2.0012684411273489</v>
      </c>
      <c r="O7" s="80">
        <f>N7+M7</f>
        <v>2.0012684411273489</v>
      </c>
      <c r="P7" s="67">
        <f>$C7*Tariffs!$J$8</f>
        <v>6.7663651873343422</v>
      </c>
      <c r="Q7" s="67"/>
      <c r="R7" s="67">
        <f>$C7*Tariffs!K$18</f>
        <v>0.38976</v>
      </c>
      <c r="S7" s="67">
        <f>$C7*Tariffs!L$18</f>
        <v>0.83122499999999999</v>
      </c>
      <c r="T7" s="67">
        <f>$C7*Tariffs!M$18</f>
        <v>0.86575499999999994</v>
      </c>
      <c r="U7" s="67"/>
      <c r="V7" s="67">
        <f>$P7+$O7+R7</f>
        <v>9.1573936284616924</v>
      </c>
      <c r="W7" s="67">
        <f>$P7+$O7+S7</f>
        <v>9.5988586284616915</v>
      </c>
      <c r="X7" s="67">
        <f>$P7+$O7+T7</f>
        <v>9.6333886284616916</v>
      </c>
      <c r="Y7" s="67"/>
      <c r="Z7" s="67">
        <f>V7*(1+Tariffs!$I$8)</f>
        <v>10.759937513442489</v>
      </c>
      <c r="AA7" s="67">
        <f>W7*(1+Tariffs!$I$8)</f>
        <v>11.278658888442488</v>
      </c>
      <c r="AB7" s="67">
        <f>X7*(1+Tariffs!$I$8)</f>
        <v>11.319231638442488</v>
      </c>
      <c r="AC7" s="82"/>
      <c r="AD7" s="83">
        <f t="shared" ref="AD7:AD28" si="0">C7</f>
        <v>15</v>
      </c>
      <c r="AE7" s="67">
        <f>Z7-$K7</f>
        <v>0.45796800000000104</v>
      </c>
      <c r="AF7" s="67">
        <f t="shared" ref="AF7:AG22" si="1">AA7-$K7</f>
        <v>0.97668937499999942</v>
      </c>
      <c r="AG7" s="67">
        <f t="shared" si="1"/>
        <v>1.0172621250000002</v>
      </c>
      <c r="AH7" s="80">
        <f>SUM(AE7:AG7)</f>
        <v>2.4519195000000007</v>
      </c>
      <c r="AI7" s="172">
        <f t="shared" ref="AI7:AI28" si="2">Z7/$K7-1</f>
        <v>4.4454412275480193E-2</v>
      </c>
      <c r="AJ7" s="172">
        <f t="shared" ref="AJ7:AJ28" si="3">AA7/$K7-1</f>
        <v>9.480608282965397E-2</v>
      </c>
      <c r="AK7" s="172">
        <f t="shared" ref="AK7:AK28" si="4">AB7/$K7-1</f>
        <v>9.8744431700426682E-2</v>
      </c>
      <c r="AL7" s="180">
        <f>SUM(AI7:AK7)</f>
        <v>0.23800492680556085</v>
      </c>
      <c r="AM7" s="66"/>
    </row>
    <row r="8" spans="2:39" x14ac:dyDescent="0.3">
      <c r="B8" s="66"/>
      <c r="C8" s="84">
        <v>50</v>
      </c>
      <c r="D8" s="85">
        <v>2.2026431718061675E-2</v>
      </c>
      <c r="E8" s="86"/>
      <c r="F8" s="88">
        <f>IF($C8&gt;Tariffs!$E$21,(Tariffs!$F$19*Tariffs!$H$19)+(Tariffs!$F$20*Tariffs!$H$20)+(Tariffs!$F$21*Tariffs!$H$21)+(($C8-Tariffs!$E$21)*Tariffs!$H$22),IF(AND($C8&gt;Tariffs!$E$19,$C8&lt;=Tariffs!$E$20),(Tariffs!$F$19*Tariffs!$H$19)+(($C8-Tariffs!$E$19)*Tariffs!$H$20),IF(AND($C8&gt;Tariffs!$E$20,$C8&lt;=Tariffs!$E$21),(Tariffs!$F$19*Tariffs!$H$19)+(Tariffs!$F$20*Tariffs!$H$20)+(($C8-Tariffs!$E$20)*Tariffs!$H$21),$C8*Tariffs!$H$19)))</f>
        <v>6.6708948037578288</v>
      </c>
      <c r="G8" s="87">
        <f t="shared" ref="G8:G28" si="5">F8+E8</f>
        <v>6.6708948037578288</v>
      </c>
      <c r="H8" s="88">
        <f>$C8*Tariffs!$J$8</f>
        <v>22.55455062444781</v>
      </c>
      <c r="I8" s="88">
        <f t="shared" ref="I8:I28" si="6">H8+G8</f>
        <v>29.225445428205639</v>
      </c>
      <c r="J8" s="88">
        <f>I8*Tariffs!$I$8</f>
        <v>5.1144529499359868</v>
      </c>
      <c r="K8" s="89">
        <f t="shared" ref="K8:K28" si="7">J8+I8</f>
        <v>34.339898378141626</v>
      </c>
      <c r="L8" s="81"/>
      <c r="M8" s="86"/>
      <c r="N8" s="88">
        <f t="shared" ref="N8:N28" si="8">F8</f>
        <v>6.6708948037578288</v>
      </c>
      <c r="O8" s="87">
        <f t="shared" ref="O8:O28" si="9">N8+M8</f>
        <v>6.6708948037578288</v>
      </c>
      <c r="P8" s="88">
        <f>$C8*Tariffs!$J$8</f>
        <v>22.55455062444781</v>
      </c>
      <c r="Q8" s="67"/>
      <c r="R8" s="88">
        <f>$C8*Tariffs!K$18</f>
        <v>1.2991999999999999</v>
      </c>
      <c r="S8" s="88">
        <f>$C8*Tariffs!L$18</f>
        <v>2.77075</v>
      </c>
      <c r="T8" s="88">
        <f>$C8*Tariffs!M$18</f>
        <v>2.88585</v>
      </c>
      <c r="U8" s="67"/>
      <c r="V8" s="88">
        <f t="shared" ref="V8:X28" si="10">$P8+$O8+R8</f>
        <v>30.524645428205638</v>
      </c>
      <c r="W8" s="88">
        <f t="shared" si="10"/>
        <v>31.996195428205638</v>
      </c>
      <c r="X8" s="88">
        <f t="shared" si="10"/>
        <v>32.111295428205636</v>
      </c>
      <c r="Y8" s="67"/>
      <c r="Z8" s="88">
        <f>V8*(1+Tariffs!$I$8)</f>
        <v>35.866458378141623</v>
      </c>
      <c r="AA8" s="88">
        <f>W8*(1+Tariffs!$I$8)</f>
        <v>37.595529628141627</v>
      </c>
      <c r="AB8" s="88">
        <f>X8*(1+Tariffs!$I$8)</f>
        <v>37.730772128141624</v>
      </c>
      <c r="AC8" s="82"/>
      <c r="AD8" s="90">
        <f t="shared" si="0"/>
        <v>50</v>
      </c>
      <c r="AE8" s="88">
        <f t="shared" ref="AE8:AG28" si="11">Z8-$K8</f>
        <v>1.5265599999999964</v>
      </c>
      <c r="AF8" s="88">
        <f t="shared" si="1"/>
        <v>3.2556312500000004</v>
      </c>
      <c r="AG8" s="88">
        <f t="shared" si="1"/>
        <v>3.3908737499999972</v>
      </c>
      <c r="AH8" s="87">
        <f t="shared" ref="AH8:AH28" si="12">SUM(AE8:AG8)</f>
        <v>8.173064999999994</v>
      </c>
      <c r="AI8" s="173">
        <f t="shared" si="2"/>
        <v>4.4454412275479971E-2</v>
      </c>
      <c r="AJ8" s="173">
        <f t="shared" si="3"/>
        <v>9.4806082829654192E-2</v>
      </c>
      <c r="AK8" s="173">
        <f t="shared" si="4"/>
        <v>9.8744431700426682E-2</v>
      </c>
      <c r="AL8" s="181">
        <f t="shared" ref="AL8:AL28" si="13">SUM(AI8:AK8)</f>
        <v>0.23800492680556085</v>
      </c>
      <c r="AM8" s="66"/>
    </row>
    <row r="9" spans="2:39" x14ac:dyDescent="0.3">
      <c r="B9" s="66"/>
      <c r="C9" s="77">
        <v>100</v>
      </c>
      <c r="D9" s="78">
        <v>7.312775330396476E-2</v>
      </c>
      <c r="E9" s="79"/>
      <c r="F9" s="67">
        <f>IF($C9&gt;Tariffs!$E$21,(Tariffs!$F$19*Tariffs!$H$19)+(Tariffs!$F$20*Tariffs!$H$20)+(Tariffs!$F$21*Tariffs!$H$21)+(($C9-Tariffs!$E$21)*Tariffs!$H$22),IF(AND($C9&gt;Tariffs!$E$19,$C9&lt;=Tariffs!$E$20),(Tariffs!$F$19*Tariffs!$H$19)+(($C9-Tariffs!$E$19)*Tariffs!$H$20),IF(AND($C9&gt;Tariffs!$E$20,$C9&lt;=Tariffs!$E$21),(Tariffs!$F$19*Tariffs!$H$19)+(Tariffs!$F$20*Tariffs!$H$20)+(($C9-Tariffs!$E$20)*Tariffs!$H$21),$C9*Tariffs!$H$19)))</f>
        <v>13.341789607515658</v>
      </c>
      <c r="G9" s="80">
        <f t="shared" si="5"/>
        <v>13.341789607515658</v>
      </c>
      <c r="H9" s="67">
        <f>$C9*Tariffs!$J$8</f>
        <v>45.10910124889562</v>
      </c>
      <c r="I9" s="67">
        <f t="shared" si="6"/>
        <v>58.450890856411277</v>
      </c>
      <c r="J9" s="67">
        <f>I9*Tariffs!$I$8</f>
        <v>10.228905899871974</v>
      </c>
      <c r="K9" s="81">
        <f t="shared" si="7"/>
        <v>68.679796756283253</v>
      </c>
      <c r="L9" s="81"/>
      <c r="M9" s="79"/>
      <c r="N9" s="67">
        <f t="shared" si="8"/>
        <v>13.341789607515658</v>
      </c>
      <c r="O9" s="80">
        <f t="shared" si="9"/>
        <v>13.341789607515658</v>
      </c>
      <c r="P9" s="67">
        <f>$C9*Tariffs!$J$8</f>
        <v>45.10910124889562</v>
      </c>
      <c r="Q9" s="67"/>
      <c r="R9" s="67">
        <f>$C9*Tariffs!K$18</f>
        <v>2.5983999999999998</v>
      </c>
      <c r="S9" s="67">
        <f>$C9*Tariffs!L$18</f>
        <v>5.5415000000000001</v>
      </c>
      <c r="T9" s="67">
        <f>$C9*Tariffs!M$18</f>
        <v>5.7717000000000001</v>
      </c>
      <c r="U9" s="67"/>
      <c r="V9" s="67">
        <f t="shared" si="10"/>
        <v>61.049290856411275</v>
      </c>
      <c r="W9" s="67">
        <f t="shared" si="10"/>
        <v>63.992390856411276</v>
      </c>
      <c r="X9" s="67">
        <f t="shared" si="10"/>
        <v>64.222590856411273</v>
      </c>
      <c r="Y9" s="67"/>
      <c r="Z9" s="67">
        <f>V9*(1+Tariffs!$I$8)</f>
        <v>71.732916756283245</v>
      </c>
      <c r="AA9" s="67">
        <f>W9*(1+Tariffs!$I$8)</f>
        <v>75.191059256283253</v>
      </c>
      <c r="AB9" s="67">
        <f>X9*(1+Tariffs!$I$8)</f>
        <v>75.461544256283247</v>
      </c>
      <c r="AC9" s="82"/>
      <c r="AD9" s="83">
        <f t="shared" si="0"/>
        <v>100</v>
      </c>
      <c r="AE9" s="67">
        <f t="shared" si="11"/>
        <v>3.0531199999999927</v>
      </c>
      <c r="AF9" s="67">
        <f t="shared" si="1"/>
        <v>6.5112625000000008</v>
      </c>
      <c r="AG9" s="67">
        <f t="shared" si="1"/>
        <v>6.7817474999999945</v>
      </c>
      <c r="AH9" s="80">
        <f t="shared" si="12"/>
        <v>16.346129999999988</v>
      </c>
      <c r="AI9" s="172">
        <f t="shared" si="2"/>
        <v>4.4454412275479971E-2</v>
      </c>
      <c r="AJ9" s="172">
        <f t="shared" si="3"/>
        <v>9.4806082829654192E-2</v>
      </c>
      <c r="AK9" s="172">
        <f t="shared" si="4"/>
        <v>9.8744431700426682E-2</v>
      </c>
      <c r="AL9" s="180">
        <f t="shared" si="13"/>
        <v>0.23800492680556085</v>
      </c>
      <c r="AM9" s="66"/>
    </row>
    <row r="10" spans="2:39" x14ac:dyDescent="0.3">
      <c r="B10" s="66"/>
      <c r="C10" s="84">
        <v>150</v>
      </c>
      <c r="D10" s="85">
        <v>0.15964757709251101</v>
      </c>
      <c r="E10" s="86"/>
      <c r="F10" s="88">
        <f>IF($C10&gt;Tariffs!$E$21,(Tariffs!$F$19*Tariffs!$H$19)+(Tariffs!$F$20*Tariffs!$H$20)+(Tariffs!$F$21*Tariffs!$H$21)+(($C10-Tariffs!$E$21)*Tariffs!$H$22),IF(AND($C10&gt;Tariffs!$E$19,$C10&lt;=Tariffs!$E$20),(Tariffs!$F$19*Tariffs!$H$19)+(($C10-Tariffs!$E$19)*Tariffs!$H$20),IF(AND($C10&gt;Tariffs!$E$20,$C10&lt;=Tariffs!$E$21),(Tariffs!$F$19*Tariffs!$H$19)+(Tariffs!$F$20*Tariffs!$H$20)+(($C10-Tariffs!$E$20)*Tariffs!$H$21),$C10*Tariffs!$H$19)))</f>
        <v>20.012684411273487</v>
      </c>
      <c r="G10" s="87">
        <f t="shared" si="5"/>
        <v>20.012684411273487</v>
      </c>
      <c r="H10" s="88">
        <f>$C10*Tariffs!$J$8</f>
        <v>67.663651873343426</v>
      </c>
      <c r="I10" s="88">
        <f t="shared" si="6"/>
        <v>87.676336284616909</v>
      </c>
      <c r="J10" s="88">
        <f>I10*Tariffs!$I$8</f>
        <v>15.343358849807958</v>
      </c>
      <c r="K10" s="89">
        <f t="shared" si="7"/>
        <v>103.01969513442486</v>
      </c>
      <c r="L10" s="81"/>
      <c r="M10" s="86"/>
      <c r="N10" s="88">
        <f t="shared" si="8"/>
        <v>20.012684411273487</v>
      </c>
      <c r="O10" s="87">
        <f t="shared" si="9"/>
        <v>20.012684411273487</v>
      </c>
      <c r="P10" s="88">
        <f>$C10*Tariffs!$J$8</f>
        <v>67.663651873343426</v>
      </c>
      <c r="Q10" s="67"/>
      <c r="R10" s="88">
        <f>$C10*Tariffs!K$18</f>
        <v>3.8976000000000002</v>
      </c>
      <c r="S10" s="88">
        <f>$C10*Tariffs!L$18</f>
        <v>8.3122500000000006</v>
      </c>
      <c r="T10" s="88">
        <f>$C10*Tariffs!M$18</f>
        <v>8.6575499999999987</v>
      </c>
      <c r="U10" s="67"/>
      <c r="V10" s="88">
        <f t="shared" si="10"/>
        <v>91.573936284616906</v>
      </c>
      <c r="W10" s="88">
        <f t="shared" si="10"/>
        <v>95.988586284616915</v>
      </c>
      <c r="X10" s="88">
        <f t="shared" si="10"/>
        <v>96.333886284616909</v>
      </c>
      <c r="Y10" s="67"/>
      <c r="Z10" s="88">
        <f>V10*(1+Tariffs!$I$8)</f>
        <v>107.59937513442488</v>
      </c>
      <c r="AA10" s="88">
        <f>W10*(1+Tariffs!$I$8)</f>
        <v>112.78658888442487</v>
      </c>
      <c r="AB10" s="88">
        <f>X10*(1+Tariffs!$I$8)</f>
        <v>113.19231638442487</v>
      </c>
      <c r="AC10" s="82"/>
      <c r="AD10" s="90">
        <f t="shared" si="0"/>
        <v>150</v>
      </c>
      <c r="AE10" s="88">
        <f t="shared" si="11"/>
        <v>4.5796800000000104</v>
      </c>
      <c r="AF10" s="88">
        <f t="shared" si="1"/>
        <v>9.7668937500000084</v>
      </c>
      <c r="AG10" s="88">
        <f t="shared" si="1"/>
        <v>10.172621250000006</v>
      </c>
      <c r="AH10" s="87">
        <f t="shared" si="12"/>
        <v>24.519195000000025</v>
      </c>
      <c r="AI10" s="173">
        <f t="shared" si="2"/>
        <v>4.4454412275480193E-2</v>
      </c>
      <c r="AJ10" s="173">
        <f t="shared" si="3"/>
        <v>9.4806082829654192E-2</v>
      </c>
      <c r="AK10" s="173">
        <f t="shared" si="4"/>
        <v>9.8744431700426682E-2</v>
      </c>
      <c r="AL10" s="181">
        <f t="shared" si="13"/>
        <v>0.23800492680556107</v>
      </c>
      <c r="AM10" s="66"/>
    </row>
    <row r="11" spans="2:39" x14ac:dyDescent="0.3">
      <c r="B11" s="66"/>
      <c r="C11" s="77">
        <v>200</v>
      </c>
      <c r="D11" s="78">
        <v>0.2729515418502203</v>
      </c>
      <c r="E11" s="79"/>
      <c r="F11" s="67">
        <f>IF($C11&gt;Tariffs!$E$21,(Tariffs!$F$19*Tariffs!$H$19)+(Tariffs!$F$20*Tariffs!$H$20)+(Tariffs!$F$21*Tariffs!$H$21)+(($C11-Tariffs!$E$21)*Tariffs!$H$22),IF(AND($C11&gt;Tariffs!$E$19,$C11&lt;=Tariffs!$E$20),(Tariffs!$F$19*Tariffs!$H$19)+(($C11-Tariffs!$E$19)*Tariffs!$H$20),IF(AND($C11&gt;Tariffs!$E$20,$C11&lt;=Tariffs!$E$21),(Tariffs!$F$19*Tariffs!$H$19)+(Tariffs!$F$20*Tariffs!$H$20)+(($C11-Tariffs!$E$20)*Tariffs!$H$21),$C11*Tariffs!$H$19)))</f>
        <v>27.886684411273485</v>
      </c>
      <c r="G11" s="80">
        <f t="shared" si="5"/>
        <v>27.886684411273485</v>
      </c>
      <c r="H11" s="67">
        <f>$C11*Tariffs!$J$8</f>
        <v>90.218202497791239</v>
      </c>
      <c r="I11" s="67">
        <f t="shared" si="6"/>
        <v>118.10488690906473</v>
      </c>
      <c r="J11" s="67">
        <f>I11*Tariffs!$I$8</f>
        <v>20.668355209086325</v>
      </c>
      <c r="K11" s="81">
        <f t="shared" si="7"/>
        <v>138.77324211815105</v>
      </c>
      <c r="L11" s="81"/>
      <c r="M11" s="79"/>
      <c r="N11" s="67">
        <f t="shared" si="8"/>
        <v>27.886684411273485</v>
      </c>
      <c r="O11" s="80">
        <f t="shared" si="9"/>
        <v>27.886684411273485</v>
      </c>
      <c r="P11" s="67">
        <f>$C11*Tariffs!$J$8</f>
        <v>90.218202497791239</v>
      </c>
      <c r="Q11" s="67"/>
      <c r="R11" s="67">
        <f>$C11*Tariffs!K$18</f>
        <v>5.1967999999999996</v>
      </c>
      <c r="S11" s="67">
        <f>$C11*Tariffs!L$18</f>
        <v>11.083</v>
      </c>
      <c r="T11" s="67">
        <f>$C11*Tariffs!M$18</f>
        <v>11.5434</v>
      </c>
      <c r="U11" s="67"/>
      <c r="V11" s="67">
        <f t="shared" si="10"/>
        <v>123.30168690906473</v>
      </c>
      <c r="W11" s="67">
        <f t="shared" si="10"/>
        <v>129.18788690906473</v>
      </c>
      <c r="X11" s="67">
        <f t="shared" si="10"/>
        <v>129.64828690906472</v>
      </c>
      <c r="Y11" s="67"/>
      <c r="Z11" s="67">
        <f>V11*(1+Tariffs!$I$8)</f>
        <v>144.87948211815106</v>
      </c>
      <c r="AA11" s="67">
        <f>W11*(1+Tariffs!$I$8)</f>
        <v>151.79576711815108</v>
      </c>
      <c r="AB11" s="67">
        <f>X11*(1+Tariffs!$I$8)</f>
        <v>152.33673711815106</v>
      </c>
      <c r="AC11" s="82"/>
      <c r="AD11" s="83">
        <f t="shared" si="0"/>
        <v>200</v>
      </c>
      <c r="AE11" s="67">
        <f t="shared" si="11"/>
        <v>6.1062400000000139</v>
      </c>
      <c r="AF11" s="67">
        <f t="shared" si="1"/>
        <v>13.02252500000003</v>
      </c>
      <c r="AG11" s="67">
        <f t="shared" si="1"/>
        <v>13.563495000000017</v>
      </c>
      <c r="AH11" s="80">
        <f t="shared" si="12"/>
        <v>32.692260000000061</v>
      </c>
      <c r="AI11" s="172">
        <f t="shared" si="2"/>
        <v>4.4001566201077758E-2</v>
      </c>
      <c r="AJ11" s="172">
        <f t="shared" si="3"/>
        <v>9.3840316773118992E-2</v>
      </c>
      <c r="AK11" s="172">
        <f t="shared" si="4"/>
        <v>9.7738546660544934E-2</v>
      </c>
      <c r="AL11" s="180">
        <f t="shared" si="13"/>
        <v>0.23558042963474168</v>
      </c>
      <c r="AM11" s="66"/>
    </row>
    <row r="12" spans="2:39" x14ac:dyDescent="0.3">
      <c r="B12" s="66"/>
      <c r="C12" s="91">
        <v>250</v>
      </c>
      <c r="D12" s="92">
        <v>0.39859030837004406</v>
      </c>
      <c r="E12" s="93"/>
      <c r="F12" s="95">
        <f>IF($C12&gt;Tariffs!$E$21,(Tariffs!$F$19*Tariffs!$H$19)+(Tariffs!$F$20*Tariffs!$H$20)+(Tariffs!$F$21*Tariffs!$H$21)+(($C12-Tariffs!$E$21)*Tariffs!$H$22),IF(AND($C12&gt;Tariffs!$E$19,$C12&lt;=Tariffs!$E$20),(Tariffs!$F$19*Tariffs!$H$19)+(($C12-Tariffs!$E$19)*Tariffs!$H$20),IF(AND($C12&gt;Tariffs!$E$20,$C12&lt;=Tariffs!$E$21),(Tariffs!$F$19*Tariffs!$H$19)+(Tariffs!$F$20*Tariffs!$H$20)+(($C12-Tariffs!$E$20)*Tariffs!$H$21),$C12*Tariffs!$H$19)))</f>
        <v>35.760684411273488</v>
      </c>
      <c r="G12" s="94">
        <f t="shared" si="5"/>
        <v>35.760684411273488</v>
      </c>
      <c r="H12" s="95">
        <f>$C12*Tariffs!$J$8</f>
        <v>112.77275312223904</v>
      </c>
      <c r="I12" s="95">
        <f t="shared" si="6"/>
        <v>148.53343753351254</v>
      </c>
      <c r="J12" s="95">
        <f>I12*Tariffs!$I$8</f>
        <v>25.993351568364695</v>
      </c>
      <c r="K12" s="96">
        <f t="shared" si="7"/>
        <v>174.52678910187723</v>
      </c>
      <c r="L12" s="113"/>
      <c r="M12" s="93"/>
      <c r="N12" s="95">
        <f t="shared" si="8"/>
        <v>35.760684411273488</v>
      </c>
      <c r="O12" s="94">
        <f t="shared" si="9"/>
        <v>35.760684411273488</v>
      </c>
      <c r="P12" s="95">
        <f>$C12*Tariffs!$J$8</f>
        <v>112.77275312223904</v>
      </c>
      <c r="Q12" s="171"/>
      <c r="R12" s="95">
        <f>$C12*Tariffs!K$18</f>
        <v>6.4960000000000004</v>
      </c>
      <c r="S12" s="95">
        <f>$C12*Tariffs!L$18</f>
        <v>13.85375</v>
      </c>
      <c r="T12" s="95">
        <f>$C12*Tariffs!M$18</f>
        <v>14.42925</v>
      </c>
      <c r="U12" s="171"/>
      <c r="V12" s="95">
        <f t="shared" si="10"/>
        <v>155.02943753351255</v>
      </c>
      <c r="W12" s="95">
        <f t="shared" si="10"/>
        <v>162.38718753351253</v>
      </c>
      <c r="X12" s="95">
        <f t="shared" si="10"/>
        <v>162.96268753351254</v>
      </c>
      <c r="Y12" s="67"/>
      <c r="Z12" s="95">
        <f>V12*(1+Tariffs!$I$8)</f>
        <v>182.15958910187726</v>
      </c>
      <c r="AA12" s="95">
        <f>W12*(1+Tariffs!$I$8)</f>
        <v>190.80494535187722</v>
      </c>
      <c r="AB12" s="95">
        <f>X12*(1+Tariffs!$I$8)</f>
        <v>191.48115785187724</v>
      </c>
      <c r="AC12" s="82"/>
      <c r="AD12" s="175">
        <f t="shared" si="0"/>
        <v>250</v>
      </c>
      <c r="AE12" s="95">
        <f t="shared" si="11"/>
        <v>7.6328000000000316</v>
      </c>
      <c r="AF12" s="95">
        <f t="shared" si="1"/>
        <v>16.278156249999995</v>
      </c>
      <c r="AG12" s="95">
        <f t="shared" si="1"/>
        <v>16.954368750000015</v>
      </c>
      <c r="AH12" s="94">
        <f t="shared" si="12"/>
        <v>40.865325000000041</v>
      </c>
      <c r="AI12" s="174">
        <f t="shared" si="2"/>
        <v>4.3734260163031502E-2</v>
      </c>
      <c r="AJ12" s="174">
        <f t="shared" si="3"/>
        <v>9.3270244263176538E-2</v>
      </c>
      <c r="AK12" s="174">
        <f t="shared" si="4"/>
        <v>9.7144792712041239E-2</v>
      </c>
      <c r="AL12" s="182">
        <f t="shared" si="13"/>
        <v>0.23414929713824928</v>
      </c>
      <c r="AM12" s="66"/>
    </row>
    <row r="13" spans="2:39" x14ac:dyDescent="0.3">
      <c r="B13" s="66"/>
      <c r="C13" s="77">
        <v>300</v>
      </c>
      <c r="D13" s="78">
        <v>0.52792951541850219</v>
      </c>
      <c r="E13" s="79"/>
      <c r="F13" s="67">
        <f>IF($C13&gt;Tariffs!$E$21,(Tariffs!$F$19*Tariffs!$H$19)+(Tariffs!$F$20*Tariffs!$H$20)+(Tariffs!$F$21*Tariffs!$H$21)+(($C13-Tariffs!$E$21)*Tariffs!$H$22),IF(AND($C13&gt;Tariffs!$E$19,$C13&lt;=Tariffs!$E$20),(Tariffs!$F$19*Tariffs!$H$19)+(($C13-Tariffs!$E$19)*Tariffs!$H$20),IF(AND($C13&gt;Tariffs!$E$20,$C13&lt;=Tariffs!$E$21),(Tariffs!$F$19*Tariffs!$H$19)+(Tariffs!$F$20*Tariffs!$H$20)+(($C13-Tariffs!$E$20)*Tariffs!$H$21),$C13*Tariffs!$H$19)))</f>
        <v>43.634684411273483</v>
      </c>
      <c r="G13" s="80">
        <f t="shared" si="5"/>
        <v>43.634684411273483</v>
      </c>
      <c r="H13" s="67">
        <f>$C13*Tariffs!$J$8</f>
        <v>135.32730374668685</v>
      </c>
      <c r="I13" s="67">
        <f t="shared" si="6"/>
        <v>178.96198815796032</v>
      </c>
      <c r="J13" s="67">
        <f>I13*Tariffs!$I$8</f>
        <v>31.318347927643053</v>
      </c>
      <c r="K13" s="81">
        <f t="shared" si="7"/>
        <v>210.28033608560338</v>
      </c>
      <c r="L13" s="81"/>
      <c r="M13" s="79"/>
      <c r="N13" s="67">
        <f t="shared" si="8"/>
        <v>43.634684411273483</v>
      </c>
      <c r="O13" s="80">
        <f t="shared" si="9"/>
        <v>43.634684411273483</v>
      </c>
      <c r="P13" s="67">
        <f>$C13*Tariffs!$J$8</f>
        <v>135.32730374668685</v>
      </c>
      <c r="Q13" s="67"/>
      <c r="R13" s="67">
        <f>$C13*Tariffs!K$18</f>
        <v>7.7952000000000004</v>
      </c>
      <c r="S13" s="67">
        <f>$C13*Tariffs!L$18</f>
        <v>16.624500000000001</v>
      </c>
      <c r="T13" s="67">
        <f>$C13*Tariffs!M$18</f>
        <v>17.315099999999997</v>
      </c>
      <c r="U13" s="67"/>
      <c r="V13" s="67">
        <f t="shared" si="10"/>
        <v>186.75718815796031</v>
      </c>
      <c r="W13" s="67">
        <f t="shared" si="10"/>
        <v>195.58648815796033</v>
      </c>
      <c r="X13" s="67">
        <f t="shared" si="10"/>
        <v>196.27708815796032</v>
      </c>
      <c r="Y13" s="67"/>
      <c r="Z13" s="67">
        <f>V13*(1+Tariffs!$I$8)</f>
        <v>219.43969608560337</v>
      </c>
      <c r="AA13" s="67">
        <f>W13*(1+Tariffs!$I$8)</f>
        <v>229.8141235856034</v>
      </c>
      <c r="AB13" s="67">
        <f>X13*(1+Tariffs!$I$8)</f>
        <v>230.62557858560339</v>
      </c>
      <c r="AC13" s="82"/>
      <c r="AD13" s="83">
        <f t="shared" si="0"/>
        <v>300</v>
      </c>
      <c r="AE13" s="67">
        <f t="shared" si="11"/>
        <v>9.1593599999999924</v>
      </c>
      <c r="AF13" s="67">
        <f t="shared" si="1"/>
        <v>19.533787500000017</v>
      </c>
      <c r="AG13" s="67">
        <f t="shared" si="1"/>
        <v>20.345242500000012</v>
      </c>
      <c r="AH13" s="80">
        <f t="shared" si="12"/>
        <v>49.038390000000021</v>
      </c>
      <c r="AI13" s="172">
        <f t="shared" si="2"/>
        <v>4.3557853152143E-2</v>
      </c>
      <c r="AJ13" s="172">
        <f t="shared" si="3"/>
        <v>9.2894028341518275E-2</v>
      </c>
      <c r="AK13" s="172">
        <f t="shared" si="4"/>
        <v>9.6752948367543112E-2</v>
      </c>
      <c r="AL13" s="180">
        <f t="shared" si="13"/>
        <v>0.23320482986120439</v>
      </c>
      <c r="AM13" s="66"/>
    </row>
    <row r="14" spans="2:39" x14ac:dyDescent="0.3">
      <c r="B14" s="66"/>
      <c r="C14" s="91">
        <v>350</v>
      </c>
      <c r="D14" s="92">
        <v>0.63753303964757713</v>
      </c>
      <c r="E14" s="93"/>
      <c r="F14" s="95">
        <f>IF($C14&gt;Tariffs!$E$21,(Tariffs!$F$19*Tariffs!$H$19)+(Tariffs!$F$20*Tariffs!$H$20)+(Tariffs!$F$21*Tariffs!$H$21)+(($C14-Tariffs!$E$21)*Tariffs!$H$22),IF(AND($C14&gt;Tariffs!$E$19,$C14&lt;=Tariffs!$E$20),(Tariffs!$F$19*Tariffs!$H$19)+(($C14-Tariffs!$E$19)*Tariffs!$H$20),IF(AND($C14&gt;Tariffs!$E$20,$C14&lt;=Tariffs!$E$21),(Tariffs!$F$19*Tariffs!$H$19)+(Tariffs!$F$20*Tariffs!$H$20)+(($C14-Tariffs!$E$20)*Tariffs!$H$21),$C14*Tariffs!$H$19)))</f>
        <v>51.508684411273492</v>
      </c>
      <c r="G14" s="94">
        <f t="shared" si="5"/>
        <v>51.508684411273492</v>
      </c>
      <c r="H14" s="95">
        <f>$C14*Tariffs!$J$8</f>
        <v>157.88185437113466</v>
      </c>
      <c r="I14" s="95">
        <f t="shared" si="6"/>
        <v>209.39053878240816</v>
      </c>
      <c r="J14" s="95">
        <f>I14*Tariffs!$I$8</f>
        <v>36.643344286921426</v>
      </c>
      <c r="K14" s="96">
        <f t="shared" si="7"/>
        <v>246.03388306932959</v>
      </c>
      <c r="L14" s="113"/>
      <c r="M14" s="93"/>
      <c r="N14" s="95">
        <f t="shared" si="8"/>
        <v>51.508684411273492</v>
      </c>
      <c r="O14" s="94">
        <f t="shared" si="9"/>
        <v>51.508684411273492</v>
      </c>
      <c r="P14" s="95">
        <f>$C14*Tariffs!$J$8</f>
        <v>157.88185437113466</v>
      </c>
      <c r="Q14" s="171"/>
      <c r="R14" s="95">
        <f>$C14*Tariffs!K$18</f>
        <v>9.0944000000000003</v>
      </c>
      <c r="S14" s="95">
        <f>$C14*Tariffs!L$18</f>
        <v>19.395250000000001</v>
      </c>
      <c r="T14" s="95">
        <f>$C14*Tariffs!M$18</f>
        <v>20.200949999999999</v>
      </c>
      <c r="U14" s="171"/>
      <c r="V14" s="95">
        <f t="shared" si="10"/>
        <v>218.48493878240816</v>
      </c>
      <c r="W14" s="95">
        <f t="shared" si="10"/>
        <v>228.78578878240816</v>
      </c>
      <c r="X14" s="95">
        <f t="shared" si="10"/>
        <v>229.59148878240816</v>
      </c>
      <c r="Y14" s="171"/>
      <c r="Z14" s="95">
        <f>V14*(1+Tariffs!$I$8)</f>
        <v>256.7198030693296</v>
      </c>
      <c r="AA14" s="95">
        <f>W14*(1+Tariffs!$I$8)</f>
        <v>268.82330181932957</v>
      </c>
      <c r="AB14" s="95">
        <f>X14*(1+Tariffs!$I$8)</f>
        <v>269.7699993193296</v>
      </c>
      <c r="AC14" s="186"/>
      <c r="AD14" s="187">
        <f t="shared" si="0"/>
        <v>350</v>
      </c>
      <c r="AE14" s="95">
        <f t="shared" si="11"/>
        <v>10.68592000000001</v>
      </c>
      <c r="AF14" s="95">
        <f t="shared" si="1"/>
        <v>22.789418749999982</v>
      </c>
      <c r="AG14" s="95">
        <f t="shared" si="1"/>
        <v>23.736116250000009</v>
      </c>
      <c r="AH14" s="94">
        <f t="shared" si="12"/>
        <v>57.211455000000001</v>
      </c>
      <c r="AI14" s="174">
        <f t="shared" si="2"/>
        <v>4.3432716935938531E-2</v>
      </c>
      <c r="AJ14" s="174">
        <f t="shared" si="3"/>
        <v>9.2627155518974602E-2</v>
      </c>
      <c r="AK14" s="174">
        <f t="shared" si="4"/>
        <v>9.6474989354663254E-2</v>
      </c>
      <c r="AL14" s="182">
        <f t="shared" si="13"/>
        <v>0.23253486180957639</v>
      </c>
      <c r="AM14" s="66"/>
    </row>
    <row r="15" spans="2:39" x14ac:dyDescent="0.3">
      <c r="B15" s="66"/>
      <c r="C15" s="77">
        <v>400</v>
      </c>
      <c r="D15" s="78">
        <v>0.7222907488986785</v>
      </c>
      <c r="E15" s="79"/>
      <c r="F15" s="67">
        <f>IF($C15&gt;Tariffs!$E$21,(Tariffs!$F$19*Tariffs!$H$19)+(Tariffs!$F$20*Tariffs!$H$20)+(Tariffs!$F$21*Tariffs!$H$21)+(($C15-Tariffs!$E$21)*Tariffs!$H$22),IF(AND($C15&gt;Tariffs!$E$19,$C15&lt;=Tariffs!$E$20),(Tariffs!$F$19*Tariffs!$H$19)+(($C15-Tariffs!$E$19)*Tariffs!$H$20),IF(AND($C15&gt;Tariffs!$E$20,$C15&lt;=Tariffs!$E$21),(Tariffs!$F$19*Tariffs!$H$19)+(Tariffs!$F$20*Tariffs!$H$20)+(($C15-Tariffs!$E$20)*Tariffs!$H$21),$C15*Tariffs!$H$19)))</f>
        <v>59.382684411273488</v>
      </c>
      <c r="G15" s="80">
        <f t="shared" si="5"/>
        <v>59.382684411273488</v>
      </c>
      <c r="H15" s="67">
        <f>$C15*Tariffs!$J$8</f>
        <v>180.43640499558248</v>
      </c>
      <c r="I15" s="67">
        <f t="shared" si="6"/>
        <v>239.81908940685597</v>
      </c>
      <c r="J15" s="67">
        <f>I15*Tariffs!$I$8</f>
        <v>41.968340646199792</v>
      </c>
      <c r="K15" s="81">
        <f t="shared" si="7"/>
        <v>281.78743005305574</v>
      </c>
      <c r="L15" s="81"/>
      <c r="M15" s="79"/>
      <c r="N15" s="67">
        <f t="shared" si="8"/>
        <v>59.382684411273488</v>
      </c>
      <c r="O15" s="80">
        <f t="shared" si="9"/>
        <v>59.382684411273488</v>
      </c>
      <c r="P15" s="67">
        <f>$C15*Tariffs!$J$8</f>
        <v>180.43640499558248</v>
      </c>
      <c r="Q15" s="67"/>
      <c r="R15" s="67">
        <f>$C15*Tariffs!K$18</f>
        <v>10.393599999999999</v>
      </c>
      <c r="S15" s="67">
        <f>$C15*Tariffs!L$18</f>
        <v>22.166</v>
      </c>
      <c r="T15" s="67">
        <f>$C15*Tariffs!M$18</f>
        <v>23.0868</v>
      </c>
      <c r="U15" s="67"/>
      <c r="V15" s="67">
        <f t="shared" si="10"/>
        <v>250.21268940685596</v>
      </c>
      <c r="W15" s="67">
        <f t="shared" si="10"/>
        <v>261.98508940685599</v>
      </c>
      <c r="X15" s="67">
        <f t="shared" si="10"/>
        <v>262.90588940685598</v>
      </c>
      <c r="Y15" s="67"/>
      <c r="Z15" s="67">
        <f>V15*(1+Tariffs!$I$8)</f>
        <v>293.99991005305577</v>
      </c>
      <c r="AA15" s="67">
        <f>W15*(1+Tariffs!$I$8)</f>
        <v>307.8324800530558</v>
      </c>
      <c r="AB15" s="67">
        <f>X15*(1+Tariffs!$I$8)</f>
        <v>308.91442005305578</v>
      </c>
      <c r="AC15" s="82"/>
      <c r="AD15" s="83">
        <f t="shared" si="0"/>
        <v>400</v>
      </c>
      <c r="AE15" s="67">
        <f t="shared" si="11"/>
        <v>12.212480000000028</v>
      </c>
      <c r="AF15" s="67">
        <f t="shared" si="1"/>
        <v>26.04505000000006</v>
      </c>
      <c r="AG15" s="67">
        <f t="shared" si="1"/>
        <v>27.126990000000035</v>
      </c>
      <c r="AH15" s="80">
        <f t="shared" si="12"/>
        <v>65.384520000000123</v>
      </c>
      <c r="AI15" s="172">
        <f t="shared" si="2"/>
        <v>4.3339335603794105E-2</v>
      </c>
      <c r="AJ15" s="172">
        <f t="shared" si="3"/>
        <v>9.242800502171522E-2</v>
      </c>
      <c r="AK15" s="172">
        <f t="shared" si="4"/>
        <v>9.6267565926885013E-2</v>
      </c>
      <c r="AL15" s="180">
        <f t="shared" si="13"/>
        <v>0.23203490655239434</v>
      </c>
      <c r="AM15" s="66"/>
    </row>
    <row r="16" spans="2:39" x14ac:dyDescent="0.3">
      <c r="B16" s="66"/>
      <c r="C16" s="84">
        <v>450</v>
      </c>
      <c r="D16" s="85">
        <v>0.7906607929515419</v>
      </c>
      <c r="E16" s="86"/>
      <c r="F16" s="88">
        <f>IF($C16&gt;Tariffs!$E$21,(Tariffs!$F$19*Tariffs!$H$19)+(Tariffs!$F$20*Tariffs!$H$20)+(Tariffs!$F$21*Tariffs!$H$21)+(($C16-Tariffs!$E$21)*Tariffs!$H$22),IF(AND($C16&gt;Tariffs!$E$19,$C16&lt;=Tariffs!$E$20),(Tariffs!$F$19*Tariffs!$H$19)+(($C16-Tariffs!$E$19)*Tariffs!$H$20),IF(AND($C16&gt;Tariffs!$E$20,$C16&lt;=Tariffs!$E$21),(Tariffs!$F$19*Tariffs!$H$19)+(Tariffs!$F$20*Tariffs!$H$20)+(($C16-Tariffs!$E$20)*Tariffs!$H$21),$C16*Tariffs!$H$19)))</f>
        <v>67.256684411273483</v>
      </c>
      <c r="G16" s="87">
        <f t="shared" si="5"/>
        <v>67.256684411273483</v>
      </c>
      <c r="H16" s="88">
        <f>$C16*Tariffs!$J$8</f>
        <v>202.99095562003026</v>
      </c>
      <c r="I16" s="88">
        <f t="shared" si="6"/>
        <v>270.24764003130372</v>
      </c>
      <c r="J16" s="88">
        <f>I16*Tariffs!$I$8</f>
        <v>47.293337005478151</v>
      </c>
      <c r="K16" s="89">
        <f t="shared" si="7"/>
        <v>317.5409770367819</v>
      </c>
      <c r="L16" s="81"/>
      <c r="M16" s="86"/>
      <c r="N16" s="88">
        <f t="shared" si="8"/>
        <v>67.256684411273483</v>
      </c>
      <c r="O16" s="87">
        <f t="shared" si="9"/>
        <v>67.256684411273483</v>
      </c>
      <c r="P16" s="88">
        <f>$C16*Tariffs!$J$8</f>
        <v>202.99095562003026</v>
      </c>
      <c r="Q16" s="67"/>
      <c r="R16" s="88">
        <f>$C16*Tariffs!K$18</f>
        <v>11.6928</v>
      </c>
      <c r="S16" s="88">
        <f>$C16*Tariffs!L$18</f>
        <v>24.93675</v>
      </c>
      <c r="T16" s="88">
        <f>$C16*Tariffs!M$18</f>
        <v>25.972649999999998</v>
      </c>
      <c r="U16" s="67"/>
      <c r="V16" s="88">
        <f t="shared" si="10"/>
        <v>281.94044003130369</v>
      </c>
      <c r="W16" s="88">
        <f t="shared" si="10"/>
        <v>295.18439003130374</v>
      </c>
      <c r="X16" s="88">
        <f t="shared" si="10"/>
        <v>296.2202900313037</v>
      </c>
      <c r="Y16" s="67"/>
      <c r="Z16" s="88">
        <f>V16*(1+Tariffs!$I$8)</f>
        <v>331.28001703678183</v>
      </c>
      <c r="AA16" s="88">
        <f>W16*(1+Tariffs!$I$8)</f>
        <v>346.84165828678192</v>
      </c>
      <c r="AB16" s="88">
        <f>X16*(1+Tariffs!$I$8)</f>
        <v>348.05884078678184</v>
      </c>
      <c r="AC16" s="82"/>
      <c r="AD16" s="90">
        <f t="shared" si="0"/>
        <v>450</v>
      </c>
      <c r="AE16" s="88">
        <f t="shared" si="11"/>
        <v>13.739039999999932</v>
      </c>
      <c r="AF16" s="88">
        <f t="shared" si="1"/>
        <v>29.300681250000025</v>
      </c>
      <c r="AG16" s="88">
        <f t="shared" si="1"/>
        <v>30.517863749999947</v>
      </c>
      <c r="AH16" s="87">
        <f t="shared" si="12"/>
        <v>73.557584999999904</v>
      </c>
      <c r="AI16" s="173">
        <f t="shared" si="2"/>
        <v>4.3266982825994393E-2</v>
      </c>
      <c r="AJ16" s="173">
        <f t="shared" si="3"/>
        <v>9.2273701250865647E-2</v>
      </c>
      <c r="AK16" s="173">
        <f t="shared" si="4"/>
        <v>9.610685220781745E-2</v>
      </c>
      <c r="AL16" s="181">
        <f t="shared" si="13"/>
        <v>0.23164753628467749</v>
      </c>
      <c r="AM16" s="66"/>
    </row>
    <row r="17" spans="2:39" x14ac:dyDescent="0.3">
      <c r="B17" s="66"/>
      <c r="C17" s="77">
        <v>500</v>
      </c>
      <c r="D17" s="78">
        <v>0.84052863436123348</v>
      </c>
      <c r="E17" s="79"/>
      <c r="F17" s="67">
        <f>IF($C17&gt;Tariffs!$E$21,(Tariffs!$F$19*Tariffs!$H$19)+(Tariffs!$F$20*Tariffs!$H$20)+(Tariffs!$F$21*Tariffs!$H$21)+(($C17-Tariffs!$E$21)*Tariffs!$H$22),IF(AND($C17&gt;Tariffs!$E$19,$C17&lt;=Tariffs!$E$20),(Tariffs!$F$19*Tariffs!$H$19)+(($C17-Tariffs!$E$19)*Tariffs!$H$20),IF(AND($C17&gt;Tariffs!$E$20,$C17&lt;=Tariffs!$E$21),(Tariffs!$F$19*Tariffs!$H$19)+(Tariffs!$F$20*Tariffs!$H$20)+(($C17-Tariffs!$E$20)*Tariffs!$H$21),$C17*Tariffs!$H$19)))</f>
        <v>75.130684411273492</v>
      </c>
      <c r="G17" s="80">
        <f t="shared" si="5"/>
        <v>75.130684411273492</v>
      </c>
      <c r="H17" s="67">
        <f>$C17*Tariffs!$J$8</f>
        <v>225.54550624447808</v>
      </c>
      <c r="I17" s="67">
        <f t="shared" si="6"/>
        <v>300.67619065575155</v>
      </c>
      <c r="J17" s="67">
        <f>I17*Tariffs!$I$8</f>
        <v>52.618333364756516</v>
      </c>
      <c r="K17" s="81">
        <f t="shared" si="7"/>
        <v>353.29452402050805</v>
      </c>
      <c r="L17" s="81"/>
      <c r="M17" s="79"/>
      <c r="N17" s="67">
        <f t="shared" si="8"/>
        <v>75.130684411273492</v>
      </c>
      <c r="O17" s="80">
        <f t="shared" si="9"/>
        <v>75.130684411273492</v>
      </c>
      <c r="P17" s="67">
        <f>$C17*Tariffs!$J$8</f>
        <v>225.54550624447808</v>
      </c>
      <c r="Q17" s="67"/>
      <c r="R17" s="67">
        <f>$C17*Tariffs!K$18</f>
        <v>12.992000000000001</v>
      </c>
      <c r="S17" s="67">
        <f>$C17*Tariffs!L$18</f>
        <v>27.7075</v>
      </c>
      <c r="T17" s="67">
        <f>$C17*Tariffs!M$18</f>
        <v>28.858499999999999</v>
      </c>
      <c r="U17" s="67"/>
      <c r="V17" s="67">
        <f t="shared" si="10"/>
        <v>313.66819065575157</v>
      </c>
      <c r="W17" s="67">
        <f t="shared" si="10"/>
        <v>328.38369065575154</v>
      </c>
      <c r="X17" s="67">
        <f t="shared" si="10"/>
        <v>329.53469065575155</v>
      </c>
      <c r="Y17" s="67"/>
      <c r="Z17" s="67">
        <f>V17*(1+Tariffs!$I$8)</f>
        <v>368.56012402050811</v>
      </c>
      <c r="AA17" s="67">
        <f>W17*(1+Tariffs!$I$8)</f>
        <v>385.8508365205081</v>
      </c>
      <c r="AB17" s="67">
        <f>X17*(1+Tariffs!$I$8)</f>
        <v>387.20326152050808</v>
      </c>
      <c r="AC17" s="82"/>
      <c r="AD17" s="83">
        <f t="shared" si="0"/>
        <v>500</v>
      </c>
      <c r="AE17" s="67">
        <f t="shared" si="11"/>
        <v>15.265600000000063</v>
      </c>
      <c r="AF17" s="67">
        <f t="shared" si="1"/>
        <v>32.556312500000047</v>
      </c>
      <c r="AG17" s="67">
        <f t="shared" si="1"/>
        <v>33.908737500000029</v>
      </c>
      <c r="AH17" s="80">
        <f t="shared" si="12"/>
        <v>81.730650000000139</v>
      </c>
      <c r="AI17" s="172">
        <f t="shared" si="2"/>
        <v>4.3209274308236623E-2</v>
      </c>
      <c r="AJ17" s="172">
        <f t="shared" si="3"/>
        <v>9.215062868653523E-2</v>
      </c>
      <c r="AK17" s="172">
        <f t="shared" si="4"/>
        <v>9.5978667073910451E-2</v>
      </c>
      <c r="AL17" s="180">
        <f t="shared" si="13"/>
        <v>0.2313385700686823</v>
      </c>
      <c r="AM17" s="66"/>
    </row>
    <row r="18" spans="2:39" x14ac:dyDescent="0.3">
      <c r="B18" s="66"/>
      <c r="C18" s="84">
        <v>600</v>
      </c>
      <c r="D18" s="85">
        <v>0.91224669603524233</v>
      </c>
      <c r="E18" s="86"/>
      <c r="F18" s="88">
        <f>IF($C18&gt;Tariffs!$E$21,(Tariffs!$F$19*Tariffs!$H$19)+(Tariffs!$F$20*Tariffs!$H$20)+(Tariffs!$F$21*Tariffs!$H$21)+(($C18-Tariffs!$E$21)*Tariffs!$H$22),IF(AND($C18&gt;Tariffs!$E$19,$C18&lt;=Tariffs!$E$20),(Tariffs!$F$19*Tariffs!$H$19)+(($C18-Tariffs!$E$19)*Tariffs!$H$20),IF(AND($C18&gt;Tariffs!$E$20,$C18&lt;=Tariffs!$E$21),(Tariffs!$F$19*Tariffs!$H$19)+(Tariffs!$F$20*Tariffs!$H$20)+(($C18-Tariffs!$E$20)*Tariffs!$H$21),$C18*Tariffs!$H$19)))</f>
        <v>97.810684411273485</v>
      </c>
      <c r="G18" s="87">
        <f t="shared" si="5"/>
        <v>97.810684411273485</v>
      </c>
      <c r="H18" s="88">
        <f>$C18*Tariffs!$J$8</f>
        <v>270.6546074933737</v>
      </c>
      <c r="I18" s="88">
        <f t="shared" si="6"/>
        <v>368.46529190464719</v>
      </c>
      <c r="J18" s="88">
        <f>I18*Tariffs!$I$8</f>
        <v>64.481426083313252</v>
      </c>
      <c r="K18" s="89">
        <f t="shared" si="7"/>
        <v>432.94671798796043</v>
      </c>
      <c r="L18" s="81"/>
      <c r="M18" s="86"/>
      <c r="N18" s="88">
        <f t="shared" si="8"/>
        <v>97.810684411273485</v>
      </c>
      <c r="O18" s="87">
        <f t="shared" si="9"/>
        <v>97.810684411273485</v>
      </c>
      <c r="P18" s="88">
        <f>$C18*Tariffs!$J$8</f>
        <v>270.6546074933737</v>
      </c>
      <c r="Q18" s="67"/>
      <c r="R18" s="88">
        <f>$C18*Tariffs!K$18</f>
        <v>15.590400000000001</v>
      </c>
      <c r="S18" s="88">
        <f>$C18*Tariffs!L$18</f>
        <v>33.249000000000002</v>
      </c>
      <c r="T18" s="88">
        <f>$C18*Tariffs!M$18</f>
        <v>34.630199999999995</v>
      </c>
      <c r="U18" s="67"/>
      <c r="V18" s="88">
        <f t="shared" si="10"/>
        <v>384.05569190464718</v>
      </c>
      <c r="W18" s="88">
        <f t="shared" si="10"/>
        <v>401.71429190464721</v>
      </c>
      <c r="X18" s="88">
        <f t="shared" si="10"/>
        <v>403.09549190464719</v>
      </c>
      <c r="Y18" s="67"/>
      <c r="Z18" s="88">
        <f>V18*(1+Tariffs!$I$8)</f>
        <v>451.26543798796047</v>
      </c>
      <c r="AA18" s="88">
        <f>W18*(1+Tariffs!$I$8)</f>
        <v>472.01429298796052</v>
      </c>
      <c r="AB18" s="88">
        <f>X18*(1+Tariffs!$I$8)</f>
        <v>473.63720298796045</v>
      </c>
      <c r="AC18" s="82"/>
      <c r="AD18" s="90">
        <f t="shared" si="0"/>
        <v>600</v>
      </c>
      <c r="AE18" s="88">
        <f t="shared" si="11"/>
        <v>18.318720000000042</v>
      </c>
      <c r="AF18" s="88">
        <f t="shared" si="1"/>
        <v>39.06757500000009</v>
      </c>
      <c r="AG18" s="88">
        <f t="shared" si="1"/>
        <v>40.690485000000024</v>
      </c>
      <c r="AH18" s="87">
        <f t="shared" si="12"/>
        <v>98.076780000000156</v>
      </c>
      <c r="AI18" s="173">
        <f t="shared" si="2"/>
        <v>4.2311719292232652E-2</v>
      </c>
      <c r="AJ18" s="173">
        <f t="shared" si="3"/>
        <v>9.0236450299379545E-2</v>
      </c>
      <c r="AK18" s="173">
        <f t="shared" si="4"/>
        <v>9.3984971612907753E-2</v>
      </c>
      <c r="AL18" s="181">
        <f t="shared" si="13"/>
        <v>0.22653314120451995</v>
      </c>
      <c r="AM18" s="66"/>
    </row>
    <row r="19" spans="2:39" x14ac:dyDescent="0.3">
      <c r="B19" s="66"/>
      <c r="C19" s="77">
        <v>700</v>
      </c>
      <c r="D19" s="78">
        <v>0.94678414096916308</v>
      </c>
      <c r="E19" s="79"/>
      <c r="F19" s="67">
        <f>IF($C19&gt;Tariffs!$E$21,(Tariffs!$F$19*Tariffs!$H$19)+(Tariffs!$F$20*Tariffs!$H$20)+(Tariffs!$F$21*Tariffs!$H$21)+(($C19-Tariffs!$E$21)*Tariffs!$H$22),IF(AND($C19&gt;Tariffs!$E$19,$C19&lt;=Tariffs!$E$20),(Tariffs!$F$19*Tariffs!$H$19)+(($C19-Tariffs!$E$19)*Tariffs!$H$20),IF(AND($C19&gt;Tariffs!$E$20,$C19&lt;=Tariffs!$E$21),(Tariffs!$F$19*Tariffs!$H$19)+(Tariffs!$F$20*Tariffs!$H$20)+(($C19-Tariffs!$E$20)*Tariffs!$H$21),$C19*Tariffs!$H$19)))</f>
        <v>120.49068441127349</v>
      </c>
      <c r="G19" s="80">
        <f t="shared" si="5"/>
        <v>120.49068441127349</v>
      </c>
      <c r="H19" s="67">
        <f>$C19*Tariffs!$J$8</f>
        <v>315.76370874226933</v>
      </c>
      <c r="I19" s="67">
        <f t="shared" si="6"/>
        <v>436.25439315354282</v>
      </c>
      <c r="J19" s="67">
        <f>I19*Tariffs!$I$8</f>
        <v>76.344518801869995</v>
      </c>
      <c r="K19" s="81">
        <f t="shared" si="7"/>
        <v>512.59891195541286</v>
      </c>
      <c r="L19" s="81"/>
      <c r="M19" s="79"/>
      <c r="N19" s="67">
        <f t="shared" si="8"/>
        <v>120.49068441127349</v>
      </c>
      <c r="O19" s="80">
        <f t="shared" si="9"/>
        <v>120.49068441127349</v>
      </c>
      <c r="P19" s="67">
        <f>$C19*Tariffs!$J$8</f>
        <v>315.76370874226933</v>
      </c>
      <c r="Q19" s="67"/>
      <c r="R19" s="67">
        <f>$C19*Tariffs!K$18</f>
        <v>18.188800000000001</v>
      </c>
      <c r="S19" s="67">
        <f>$C19*Tariffs!L$18</f>
        <v>38.790500000000002</v>
      </c>
      <c r="T19" s="67">
        <f>$C19*Tariffs!M$18</f>
        <v>40.401899999999998</v>
      </c>
      <c r="U19" s="67"/>
      <c r="V19" s="67">
        <f t="shared" si="10"/>
        <v>454.44319315354284</v>
      </c>
      <c r="W19" s="67">
        <f t="shared" si="10"/>
        <v>475.04489315354283</v>
      </c>
      <c r="X19" s="67">
        <f t="shared" si="10"/>
        <v>476.65629315354283</v>
      </c>
      <c r="Y19" s="67"/>
      <c r="Z19" s="67">
        <f>V19*(1+Tariffs!$I$8)</f>
        <v>533.97075195541288</v>
      </c>
      <c r="AA19" s="67">
        <f>W19*(1+Tariffs!$I$8)</f>
        <v>558.17774945541282</v>
      </c>
      <c r="AB19" s="67">
        <f>X19*(1+Tariffs!$I$8)</f>
        <v>560.07114445541288</v>
      </c>
      <c r="AC19" s="82"/>
      <c r="AD19" s="83">
        <f t="shared" si="0"/>
        <v>700</v>
      </c>
      <c r="AE19" s="67">
        <f t="shared" si="11"/>
        <v>21.37184000000002</v>
      </c>
      <c r="AF19" s="67">
        <f t="shared" si="1"/>
        <v>45.578837499999963</v>
      </c>
      <c r="AG19" s="67">
        <f t="shared" si="1"/>
        <v>47.472232500000018</v>
      </c>
      <c r="AH19" s="80">
        <f t="shared" si="12"/>
        <v>114.42291</v>
      </c>
      <c r="AI19" s="172">
        <f t="shared" si="2"/>
        <v>4.1693104494648248E-2</v>
      </c>
      <c r="AJ19" s="172">
        <f t="shared" si="3"/>
        <v>8.8917156156516519E-2</v>
      </c>
      <c r="AK19" s="172">
        <f t="shared" si="4"/>
        <v>9.2610872541472045E-2</v>
      </c>
      <c r="AL19" s="180">
        <f t="shared" si="13"/>
        <v>0.22322113319263681</v>
      </c>
      <c r="AM19" s="66"/>
    </row>
    <row r="20" spans="2:39" x14ac:dyDescent="0.3">
      <c r="B20" s="66"/>
      <c r="C20" s="84">
        <v>800</v>
      </c>
      <c r="D20" s="85">
        <v>0.96722466960352427</v>
      </c>
      <c r="E20" s="86"/>
      <c r="F20" s="88">
        <f>IF($C20&gt;Tariffs!$E$21,(Tariffs!$F$19*Tariffs!$H$19)+(Tariffs!$F$20*Tariffs!$H$20)+(Tariffs!$F$21*Tariffs!$H$21)+(($C20-Tariffs!$E$21)*Tariffs!$H$22),IF(AND($C20&gt;Tariffs!$E$19,$C20&lt;=Tariffs!$E$20),(Tariffs!$F$19*Tariffs!$H$19)+(($C20-Tariffs!$E$19)*Tariffs!$H$20),IF(AND($C20&gt;Tariffs!$E$20,$C20&lt;=Tariffs!$E$21),(Tariffs!$F$19*Tariffs!$H$19)+(Tariffs!$F$20*Tariffs!$H$20)+(($C20-Tariffs!$E$20)*Tariffs!$H$21),$C20*Tariffs!$H$19)))</f>
        <v>143.1706844112735</v>
      </c>
      <c r="G20" s="87">
        <f t="shared" si="5"/>
        <v>143.1706844112735</v>
      </c>
      <c r="H20" s="88">
        <f>$C20*Tariffs!$J$8</f>
        <v>360.87280999116496</v>
      </c>
      <c r="I20" s="88">
        <f t="shared" si="6"/>
        <v>504.04349440243845</v>
      </c>
      <c r="J20" s="88">
        <f>I20*Tariffs!$I$8</f>
        <v>88.207611520426724</v>
      </c>
      <c r="K20" s="89">
        <f t="shared" si="7"/>
        <v>592.25110592286524</v>
      </c>
      <c r="L20" s="81"/>
      <c r="M20" s="86"/>
      <c r="N20" s="88">
        <f t="shared" si="8"/>
        <v>143.1706844112735</v>
      </c>
      <c r="O20" s="87">
        <f t="shared" si="9"/>
        <v>143.1706844112735</v>
      </c>
      <c r="P20" s="88">
        <f>$C20*Tariffs!$J$8</f>
        <v>360.87280999116496</v>
      </c>
      <c r="Q20" s="67"/>
      <c r="R20" s="88">
        <f>$C20*Tariffs!K$18</f>
        <v>20.787199999999999</v>
      </c>
      <c r="S20" s="88">
        <f>$C20*Tariffs!L$18</f>
        <v>44.332000000000001</v>
      </c>
      <c r="T20" s="88">
        <f>$C20*Tariffs!M$18</f>
        <v>46.1736</v>
      </c>
      <c r="U20" s="67"/>
      <c r="V20" s="88">
        <f t="shared" si="10"/>
        <v>524.83069440243844</v>
      </c>
      <c r="W20" s="88">
        <f t="shared" si="10"/>
        <v>548.37549440243845</v>
      </c>
      <c r="X20" s="88">
        <f t="shared" si="10"/>
        <v>550.21709440243842</v>
      </c>
      <c r="Y20" s="67"/>
      <c r="Z20" s="88">
        <f>V20*(1+Tariffs!$I$8)</f>
        <v>616.67606592286518</v>
      </c>
      <c r="AA20" s="88">
        <f>W20*(1+Tariffs!$I$8)</f>
        <v>644.34120592286524</v>
      </c>
      <c r="AB20" s="88">
        <f>X20*(1+Tariffs!$I$8)</f>
        <v>646.50508592286519</v>
      </c>
      <c r="AC20" s="82"/>
      <c r="AD20" s="90">
        <f t="shared" si="0"/>
        <v>800</v>
      </c>
      <c r="AE20" s="88">
        <f t="shared" si="11"/>
        <v>24.424959999999942</v>
      </c>
      <c r="AF20" s="88">
        <f t="shared" si="1"/>
        <v>52.090100000000007</v>
      </c>
      <c r="AG20" s="88">
        <f t="shared" si="1"/>
        <v>54.253979999999956</v>
      </c>
      <c r="AH20" s="87">
        <f t="shared" si="12"/>
        <v>130.7690399999999</v>
      </c>
      <c r="AI20" s="173">
        <f t="shared" si="2"/>
        <v>4.1240885421294671E-2</v>
      </c>
      <c r="AJ20" s="173">
        <f t="shared" si="3"/>
        <v>8.7952727279135168E-2</v>
      </c>
      <c r="AK20" s="173">
        <f t="shared" si="4"/>
        <v>9.1606380228635542E-2</v>
      </c>
      <c r="AL20" s="181">
        <f t="shared" si="13"/>
        <v>0.22079999292906538</v>
      </c>
      <c r="AM20" s="66"/>
    </row>
    <row r="21" spans="2:39" x14ac:dyDescent="0.3">
      <c r="B21" s="66"/>
      <c r="C21" s="77">
        <v>900</v>
      </c>
      <c r="D21" s="78">
        <v>0.97533039647577091</v>
      </c>
      <c r="E21" s="79"/>
      <c r="F21" s="67">
        <f>IF($C21&gt;Tariffs!$E$21,(Tariffs!$F$19*Tariffs!$H$19)+(Tariffs!$F$20*Tariffs!$H$20)+(Tariffs!$F$21*Tariffs!$H$21)+(($C21-Tariffs!$E$21)*Tariffs!$H$22),IF(AND($C21&gt;Tariffs!$E$19,$C21&lt;=Tariffs!$E$20),(Tariffs!$F$19*Tariffs!$H$19)+(($C21-Tariffs!$E$19)*Tariffs!$H$20),IF(AND($C21&gt;Tariffs!$E$20,$C21&lt;=Tariffs!$E$21),(Tariffs!$F$19*Tariffs!$H$19)+(Tariffs!$F$20*Tariffs!$H$20)+(($C21-Tariffs!$E$20)*Tariffs!$H$21),$C21*Tariffs!$H$19)))</f>
        <v>165.85068441127351</v>
      </c>
      <c r="G21" s="80">
        <f t="shared" si="5"/>
        <v>165.85068441127351</v>
      </c>
      <c r="H21" s="67">
        <f>$C21*Tariffs!$J$8</f>
        <v>405.98191124006053</v>
      </c>
      <c r="I21" s="67">
        <f t="shared" si="6"/>
        <v>571.83259565133403</v>
      </c>
      <c r="J21" s="67">
        <f>I21*Tariffs!$I$8</f>
        <v>100.07070423898345</v>
      </c>
      <c r="K21" s="81">
        <f t="shared" si="7"/>
        <v>671.9032998903175</v>
      </c>
      <c r="L21" s="81"/>
      <c r="M21" s="79"/>
      <c r="N21" s="67">
        <f t="shared" si="8"/>
        <v>165.85068441127351</v>
      </c>
      <c r="O21" s="80">
        <f t="shared" si="9"/>
        <v>165.85068441127351</v>
      </c>
      <c r="P21" s="67">
        <f>$C21*Tariffs!$J$8</f>
        <v>405.98191124006053</v>
      </c>
      <c r="Q21" s="67"/>
      <c r="R21" s="67">
        <f>$C21*Tariffs!K$18</f>
        <v>23.3856</v>
      </c>
      <c r="S21" s="67">
        <f>$C21*Tariffs!L$18</f>
        <v>49.8735</v>
      </c>
      <c r="T21" s="67">
        <f>$C21*Tariffs!M$18</f>
        <v>51.945299999999996</v>
      </c>
      <c r="U21" s="67"/>
      <c r="V21" s="67">
        <f t="shared" si="10"/>
        <v>595.21819565133399</v>
      </c>
      <c r="W21" s="67">
        <f t="shared" si="10"/>
        <v>621.70609565133407</v>
      </c>
      <c r="X21" s="67">
        <f t="shared" si="10"/>
        <v>623.77789565133401</v>
      </c>
      <c r="Y21" s="67"/>
      <c r="Z21" s="67">
        <f>V21*(1+Tariffs!$I$8)</f>
        <v>699.38137989031748</v>
      </c>
      <c r="AA21" s="67">
        <f>W21*(1+Tariffs!$I$8)</f>
        <v>730.50466239031755</v>
      </c>
      <c r="AB21" s="67">
        <f>X21*(1+Tariffs!$I$8)</f>
        <v>732.93902739031751</v>
      </c>
      <c r="AC21" s="82"/>
      <c r="AD21" s="83">
        <f t="shared" si="0"/>
        <v>900</v>
      </c>
      <c r="AE21" s="67">
        <f t="shared" si="11"/>
        <v>27.478079999999977</v>
      </c>
      <c r="AF21" s="67">
        <f t="shared" si="1"/>
        <v>58.60136250000005</v>
      </c>
      <c r="AG21" s="67">
        <f t="shared" si="1"/>
        <v>61.035727500000007</v>
      </c>
      <c r="AH21" s="80">
        <f t="shared" si="12"/>
        <v>147.11517000000003</v>
      </c>
      <c r="AI21" s="172">
        <f t="shared" si="2"/>
        <v>4.0895884875822963E-2</v>
      </c>
      <c r="AJ21" s="172">
        <f t="shared" si="3"/>
        <v>8.7216958912936127E-2</v>
      </c>
      <c r="AK21" s="172">
        <f t="shared" si="4"/>
        <v>9.084004723590966E-2</v>
      </c>
      <c r="AL21" s="180">
        <f t="shared" si="13"/>
        <v>0.21895289102466875</v>
      </c>
      <c r="AM21" s="66"/>
    </row>
    <row r="22" spans="2:39" x14ac:dyDescent="0.3">
      <c r="B22" s="66"/>
      <c r="C22" s="84">
        <v>1000</v>
      </c>
      <c r="D22" s="85">
        <v>0.98361233480176213</v>
      </c>
      <c r="E22" s="86"/>
      <c r="F22" s="88">
        <f>IF($C22&gt;Tariffs!$E$21,(Tariffs!$F$19*Tariffs!$H$19)+(Tariffs!$F$20*Tariffs!$H$20)+(Tariffs!$F$21*Tariffs!$H$21)+(($C22-Tariffs!$E$21)*Tariffs!$H$22),IF(AND($C22&gt;Tariffs!$E$19,$C22&lt;=Tariffs!$E$20),(Tariffs!$F$19*Tariffs!$H$19)+(($C22-Tariffs!$E$19)*Tariffs!$H$20),IF(AND($C22&gt;Tariffs!$E$20,$C22&lt;=Tariffs!$E$21),(Tariffs!$F$19*Tariffs!$H$19)+(Tariffs!$F$20*Tariffs!$H$20)+(($C22-Tariffs!$E$20)*Tariffs!$H$21),$C22*Tariffs!$H$19)))</f>
        <v>188.53068441127351</v>
      </c>
      <c r="G22" s="87">
        <f t="shared" si="5"/>
        <v>188.53068441127351</v>
      </c>
      <c r="H22" s="88">
        <f>$C22*Tariffs!$J$8</f>
        <v>451.09101248895615</v>
      </c>
      <c r="I22" s="88">
        <f t="shared" si="6"/>
        <v>639.62169690022961</v>
      </c>
      <c r="J22" s="88">
        <f>I22*Tariffs!$I$8</f>
        <v>111.93379695754018</v>
      </c>
      <c r="K22" s="89">
        <f t="shared" si="7"/>
        <v>751.55549385776976</v>
      </c>
      <c r="L22" s="81"/>
      <c r="M22" s="86"/>
      <c r="N22" s="88">
        <f t="shared" si="8"/>
        <v>188.53068441127351</v>
      </c>
      <c r="O22" s="87">
        <f t="shared" si="9"/>
        <v>188.53068441127351</v>
      </c>
      <c r="P22" s="88">
        <f>$C22*Tariffs!$J$8</f>
        <v>451.09101248895615</v>
      </c>
      <c r="Q22" s="67"/>
      <c r="R22" s="88">
        <f>$C22*Tariffs!K$18</f>
        <v>25.984000000000002</v>
      </c>
      <c r="S22" s="88">
        <f>$C22*Tariffs!L$18</f>
        <v>55.414999999999999</v>
      </c>
      <c r="T22" s="88">
        <f>$C22*Tariffs!M$18</f>
        <v>57.716999999999999</v>
      </c>
      <c r="U22" s="67"/>
      <c r="V22" s="88">
        <f t="shared" si="10"/>
        <v>665.60569690022965</v>
      </c>
      <c r="W22" s="88">
        <f t="shared" si="10"/>
        <v>695.03669690022957</v>
      </c>
      <c r="X22" s="88">
        <f t="shared" si="10"/>
        <v>697.33869690022959</v>
      </c>
      <c r="Y22" s="67"/>
      <c r="Z22" s="88">
        <f>V22*(1+Tariffs!$I$8)</f>
        <v>782.08669385776989</v>
      </c>
      <c r="AA22" s="88">
        <f>W22*(1+Tariffs!$I$8)</f>
        <v>816.66811885776974</v>
      </c>
      <c r="AB22" s="88">
        <f>X22*(1+Tariffs!$I$8)</f>
        <v>819.37296885776982</v>
      </c>
      <c r="AC22" s="82"/>
      <c r="AD22" s="90">
        <f t="shared" si="0"/>
        <v>1000</v>
      </c>
      <c r="AE22" s="88">
        <f t="shared" si="11"/>
        <v>30.531200000000126</v>
      </c>
      <c r="AF22" s="88">
        <f t="shared" si="1"/>
        <v>65.11262499999998</v>
      </c>
      <c r="AG22" s="88">
        <f t="shared" si="1"/>
        <v>67.817475000000059</v>
      </c>
      <c r="AH22" s="87">
        <f t="shared" si="12"/>
        <v>163.46130000000016</v>
      </c>
      <c r="AI22" s="173">
        <f t="shared" si="2"/>
        <v>4.0624012796822262E-2</v>
      </c>
      <c r="AJ22" s="173">
        <f t="shared" si="3"/>
        <v>8.6637148596670821E-2</v>
      </c>
      <c r="AK22" s="173">
        <f t="shared" si="4"/>
        <v>9.0236150961906736E-2</v>
      </c>
      <c r="AL22" s="181">
        <f t="shared" si="13"/>
        <v>0.21749731235539982</v>
      </c>
      <c r="AM22" s="66"/>
    </row>
    <row r="23" spans="2:39" x14ac:dyDescent="0.3">
      <c r="B23" s="66"/>
      <c r="C23" s="77">
        <v>1100</v>
      </c>
      <c r="D23" s="78">
        <v>0.98872246696035249</v>
      </c>
      <c r="E23" s="79"/>
      <c r="F23" s="67">
        <f>IF($C23&gt;Tariffs!$E$21,(Tariffs!$F$19*Tariffs!$H$19)+(Tariffs!$F$20*Tariffs!$H$20)+(Tariffs!$F$21*Tariffs!$H$21)+(($C23-Tariffs!$E$21)*Tariffs!$H$22),IF(AND($C23&gt;Tariffs!$E$19,$C23&lt;=Tariffs!$E$20),(Tariffs!$F$19*Tariffs!$H$19)+(($C23-Tariffs!$E$19)*Tariffs!$H$20),IF(AND($C23&gt;Tariffs!$E$20,$C23&lt;=Tariffs!$E$21),(Tariffs!$F$19*Tariffs!$H$19)+(Tariffs!$F$20*Tariffs!$H$20)+(($C23-Tariffs!$E$20)*Tariffs!$H$21),$C23*Tariffs!$H$19)))</f>
        <v>211.21068441127352</v>
      </c>
      <c r="G23" s="80">
        <f t="shared" si="5"/>
        <v>211.21068441127352</v>
      </c>
      <c r="H23" s="67">
        <f>$C23*Tariffs!$J$8</f>
        <v>496.20011373785178</v>
      </c>
      <c r="I23" s="67">
        <f t="shared" si="6"/>
        <v>707.4107981491253</v>
      </c>
      <c r="J23" s="67">
        <f>I23*Tariffs!$I$8</f>
        <v>123.79688967609692</v>
      </c>
      <c r="K23" s="81">
        <f t="shared" si="7"/>
        <v>831.20768782522225</v>
      </c>
      <c r="L23" s="81"/>
      <c r="M23" s="79"/>
      <c r="N23" s="67">
        <f t="shared" si="8"/>
        <v>211.21068441127352</v>
      </c>
      <c r="O23" s="80">
        <f t="shared" si="9"/>
        <v>211.21068441127352</v>
      </c>
      <c r="P23" s="67">
        <f>$C23*Tariffs!$J$8</f>
        <v>496.20011373785178</v>
      </c>
      <c r="Q23" s="67"/>
      <c r="R23" s="67">
        <f>$C23*Tariffs!K$18</f>
        <v>28.5824</v>
      </c>
      <c r="S23" s="67">
        <f>$C23*Tariffs!L$18</f>
        <v>60.956499999999998</v>
      </c>
      <c r="T23" s="67">
        <f>$C23*Tariffs!M$18</f>
        <v>63.488699999999994</v>
      </c>
      <c r="U23" s="67"/>
      <c r="V23" s="67">
        <f t="shared" si="10"/>
        <v>735.99319814912531</v>
      </c>
      <c r="W23" s="67">
        <f t="shared" si="10"/>
        <v>768.3672981491253</v>
      </c>
      <c r="X23" s="67">
        <f t="shared" si="10"/>
        <v>770.89949814912529</v>
      </c>
      <c r="Y23" s="67"/>
      <c r="Z23" s="67">
        <f>V23*(1+Tariffs!$I$8)</f>
        <v>864.7920078252223</v>
      </c>
      <c r="AA23" s="67">
        <f>W23*(1+Tariffs!$I$8)</f>
        <v>902.83157532522227</v>
      </c>
      <c r="AB23" s="67">
        <f>X23*(1+Tariffs!$I$8)</f>
        <v>905.80691032522225</v>
      </c>
      <c r="AC23" s="82"/>
      <c r="AD23" s="83">
        <f t="shared" si="0"/>
        <v>1100</v>
      </c>
      <c r="AE23" s="67">
        <f t="shared" si="11"/>
        <v>33.584320000000048</v>
      </c>
      <c r="AF23" s="67">
        <f t="shared" si="11"/>
        <v>71.623887500000023</v>
      </c>
      <c r="AG23" s="67">
        <f t="shared" si="11"/>
        <v>74.599222499999996</v>
      </c>
      <c r="AH23" s="80">
        <f t="shared" si="12"/>
        <v>179.80743000000007</v>
      </c>
      <c r="AI23" s="172">
        <f t="shared" si="2"/>
        <v>4.0404246125141485E-2</v>
      </c>
      <c r="AJ23" s="172">
        <f t="shared" si="3"/>
        <v>8.6168461323303358E-2</v>
      </c>
      <c r="AK23" s="172">
        <f t="shared" si="4"/>
        <v>8.9747993904125245E-2</v>
      </c>
      <c r="AL23" s="180">
        <f t="shared" si="13"/>
        <v>0.21632070135257009</v>
      </c>
      <c r="AM23" s="66"/>
    </row>
    <row r="24" spans="2:39" x14ac:dyDescent="0.3">
      <c r="B24" s="66"/>
      <c r="C24" s="84">
        <v>1200</v>
      </c>
      <c r="D24" s="85">
        <v>0.99277533039647581</v>
      </c>
      <c r="E24" s="86"/>
      <c r="F24" s="88">
        <f>IF($C24&gt;Tariffs!$E$21,(Tariffs!$F$19*Tariffs!$H$19)+(Tariffs!$F$20*Tariffs!$H$20)+(Tariffs!$F$21*Tariffs!$H$21)+(($C24-Tariffs!$E$21)*Tariffs!$H$22),IF(AND($C24&gt;Tariffs!$E$19,$C24&lt;=Tariffs!$E$20),(Tariffs!$F$19*Tariffs!$H$19)+(($C24-Tariffs!$E$19)*Tariffs!$H$20),IF(AND($C24&gt;Tariffs!$E$20,$C24&lt;=Tariffs!$E$21),(Tariffs!$F$19*Tariffs!$H$19)+(Tariffs!$F$20*Tariffs!$H$20)+(($C24-Tariffs!$E$20)*Tariffs!$H$21),$C24*Tariffs!$H$19)))</f>
        <v>233.89068441127347</v>
      </c>
      <c r="G24" s="87">
        <f t="shared" si="5"/>
        <v>233.89068441127347</v>
      </c>
      <c r="H24" s="88">
        <f>$C24*Tariffs!$J$8</f>
        <v>541.30921498674741</v>
      </c>
      <c r="I24" s="88">
        <f t="shared" si="6"/>
        <v>775.19989939802088</v>
      </c>
      <c r="J24" s="88">
        <f>I24*Tariffs!$I$8</f>
        <v>135.65998239465364</v>
      </c>
      <c r="K24" s="89">
        <f t="shared" si="7"/>
        <v>910.85988179267451</v>
      </c>
      <c r="L24" s="81"/>
      <c r="M24" s="86"/>
      <c r="N24" s="88">
        <f t="shared" si="8"/>
        <v>233.89068441127347</v>
      </c>
      <c r="O24" s="87">
        <f t="shared" si="9"/>
        <v>233.89068441127347</v>
      </c>
      <c r="P24" s="88">
        <f>$C24*Tariffs!$J$8</f>
        <v>541.30921498674741</v>
      </c>
      <c r="Q24" s="67"/>
      <c r="R24" s="88">
        <f>$C24*Tariffs!K$18</f>
        <v>31.180800000000001</v>
      </c>
      <c r="S24" s="88">
        <f>$C24*Tariffs!L$18</f>
        <v>66.498000000000005</v>
      </c>
      <c r="T24" s="88">
        <f>$C24*Tariffs!M$18</f>
        <v>69.26039999999999</v>
      </c>
      <c r="U24" s="67"/>
      <c r="V24" s="88">
        <f t="shared" si="10"/>
        <v>806.38069939802085</v>
      </c>
      <c r="W24" s="88">
        <f t="shared" si="10"/>
        <v>841.69789939802092</v>
      </c>
      <c r="X24" s="88">
        <f t="shared" si="10"/>
        <v>844.46029939802088</v>
      </c>
      <c r="Y24" s="67"/>
      <c r="Z24" s="88">
        <f>V24*(1+Tariffs!$I$8)</f>
        <v>947.49732179267448</v>
      </c>
      <c r="AA24" s="88">
        <f>W24*(1+Tariffs!$I$8)</f>
        <v>988.99503179267458</v>
      </c>
      <c r="AB24" s="88">
        <f>X24*(1+Tariffs!$I$8)</f>
        <v>992.24085179267456</v>
      </c>
      <c r="AC24" s="82"/>
      <c r="AD24" s="90">
        <f t="shared" si="0"/>
        <v>1200</v>
      </c>
      <c r="AE24" s="88">
        <f t="shared" si="11"/>
        <v>36.63743999999997</v>
      </c>
      <c r="AF24" s="88">
        <f t="shared" si="11"/>
        <v>78.135150000000067</v>
      </c>
      <c r="AG24" s="88">
        <f t="shared" si="11"/>
        <v>81.380970000000048</v>
      </c>
      <c r="AH24" s="87">
        <f t="shared" si="12"/>
        <v>196.15356000000008</v>
      </c>
      <c r="AI24" s="173">
        <f t="shared" si="2"/>
        <v>4.0222915436667783E-2</v>
      </c>
      <c r="AJ24" s="173">
        <f t="shared" si="3"/>
        <v>8.5781744878500321E-2</v>
      </c>
      <c r="AK24" s="173">
        <f t="shared" si="4"/>
        <v>8.9345212833211063E-2</v>
      </c>
      <c r="AL24" s="181">
        <f t="shared" si="13"/>
        <v>0.21534987314837917</v>
      </c>
      <c r="AM24" s="66"/>
    </row>
    <row r="25" spans="2:39" x14ac:dyDescent="0.3">
      <c r="B25" s="66"/>
      <c r="C25" s="77">
        <v>1300</v>
      </c>
      <c r="D25" s="78">
        <v>0.99488986784140976</v>
      </c>
      <c r="E25" s="79"/>
      <c r="F25" s="67">
        <f>IF($C25&gt;Tariffs!$E$21,(Tariffs!$F$19*Tariffs!$H$19)+(Tariffs!$F$20*Tariffs!$H$20)+(Tariffs!$F$21*Tariffs!$H$21)+(($C25-Tariffs!$E$21)*Tariffs!$H$22),IF(AND($C25&gt;Tariffs!$E$19,$C25&lt;=Tariffs!$E$20),(Tariffs!$F$19*Tariffs!$H$19)+(($C25-Tariffs!$E$19)*Tariffs!$H$20),IF(AND($C25&gt;Tariffs!$E$20,$C25&lt;=Tariffs!$E$21),(Tariffs!$F$19*Tariffs!$H$19)+(Tariffs!$F$20*Tariffs!$H$20)+(($C25-Tariffs!$E$20)*Tariffs!$H$21),$C25*Tariffs!$H$19)))</f>
        <v>256.57068441127348</v>
      </c>
      <c r="G25" s="80">
        <f t="shared" si="5"/>
        <v>256.57068441127348</v>
      </c>
      <c r="H25" s="67">
        <f>$C25*Tariffs!$J$8</f>
        <v>586.41831623564303</v>
      </c>
      <c r="I25" s="67">
        <f t="shared" si="6"/>
        <v>842.98900064691657</v>
      </c>
      <c r="J25" s="67">
        <f>I25*Tariffs!$I$8</f>
        <v>147.52307511321038</v>
      </c>
      <c r="K25" s="81">
        <f t="shared" si="7"/>
        <v>990.51207576012689</v>
      </c>
      <c r="L25" s="81"/>
      <c r="M25" s="79"/>
      <c r="N25" s="67">
        <f t="shared" si="8"/>
        <v>256.57068441127348</v>
      </c>
      <c r="O25" s="80">
        <f t="shared" si="9"/>
        <v>256.57068441127348</v>
      </c>
      <c r="P25" s="67">
        <f>$C25*Tariffs!$J$8</f>
        <v>586.41831623564303</v>
      </c>
      <c r="Q25" s="67"/>
      <c r="R25" s="67">
        <f>$C25*Tariffs!K$18</f>
        <v>33.779200000000003</v>
      </c>
      <c r="S25" s="67">
        <f>$C25*Tariffs!L$18</f>
        <v>72.039500000000004</v>
      </c>
      <c r="T25" s="67">
        <f>$C25*Tariffs!M$18</f>
        <v>75.0321</v>
      </c>
      <c r="U25" s="67"/>
      <c r="V25" s="67">
        <f t="shared" si="10"/>
        <v>876.76820064691651</v>
      </c>
      <c r="W25" s="67">
        <f t="shared" si="10"/>
        <v>915.02850064691654</v>
      </c>
      <c r="X25" s="67">
        <f t="shared" si="10"/>
        <v>918.02110064691658</v>
      </c>
      <c r="Y25" s="67"/>
      <c r="Z25" s="67">
        <f>V25*(1+Tariffs!$I$8)</f>
        <v>1030.2026357601269</v>
      </c>
      <c r="AA25" s="67">
        <f>W25*(1+Tariffs!$I$8)</f>
        <v>1075.1584882601269</v>
      </c>
      <c r="AB25" s="67">
        <f>X25*(1+Tariffs!$I$8)</f>
        <v>1078.674793260127</v>
      </c>
      <c r="AC25" s="82"/>
      <c r="AD25" s="83">
        <f t="shared" si="0"/>
        <v>1300</v>
      </c>
      <c r="AE25" s="67">
        <f t="shared" si="11"/>
        <v>39.690560000000005</v>
      </c>
      <c r="AF25" s="67">
        <f t="shared" si="11"/>
        <v>84.646412499999997</v>
      </c>
      <c r="AG25" s="67">
        <f t="shared" si="11"/>
        <v>88.162717500000099</v>
      </c>
      <c r="AH25" s="80">
        <f t="shared" si="12"/>
        <v>212.4996900000001</v>
      </c>
      <c r="AI25" s="172">
        <f t="shared" si="2"/>
        <v>4.0070748223378416E-2</v>
      </c>
      <c r="AJ25" s="172">
        <f t="shared" si="3"/>
        <v>8.5457224168662194E-2</v>
      </c>
      <c r="AK25" s="172">
        <f t="shared" si="4"/>
        <v>8.9007211176444612E-2</v>
      </c>
      <c r="AL25" s="180">
        <f t="shared" si="13"/>
        <v>0.21453518356848522</v>
      </c>
      <c r="AM25" s="66"/>
    </row>
    <row r="26" spans="2:39" x14ac:dyDescent="0.3">
      <c r="B26" s="66"/>
      <c r="C26" s="84">
        <v>1400</v>
      </c>
      <c r="D26" s="85">
        <v>0.99524229074889869</v>
      </c>
      <c r="E26" s="86"/>
      <c r="F26" s="88">
        <f>IF($C26&gt;Tariffs!$E$21,(Tariffs!$F$19*Tariffs!$H$19)+(Tariffs!$F$20*Tariffs!$H$20)+(Tariffs!$F$21*Tariffs!$H$21)+(($C26-Tariffs!$E$21)*Tariffs!$H$22),IF(AND($C26&gt;Tariffs!$E$19,$C26&lt;=Tariffs!$E$20),(Tariffs!$F$19*Tariffs!$H$19)+(($C26-Tariffs!$E$19)*Tariffs!$H$20),IF(AND($C26&gt;Tariffs!$E$20,$C26&lt;=Tariffs!$E$21),(Tariffs!$F$19*Tariffs!$H$19)+(Tariffs!$F$20*Tariffs!$H$20)+(($C26-Tariffs!$E$20)*Tariffs!$H$21),$C26*Tariffs!$H$19)))</f>
        <v>279.25068441127348</v>
      </c>
      <c r="G26" s="87">
        <f t="shared" si="5"/>
        <v>279.25068441127348</v>
      </c>
      <c r="H26" s="88">
        <f>$C26*Tariffs!$J$8</f>
        <v>631.52741748453866</v>
      </c>
      <c r="I26" s="88">
        <f t="shared" si="6"/>
        <v>910.77810189581214</v>
      </c>
      <c r="J26" s="88">
        <f>I26*Tariffs!$I$8</f>
        <v>159.38616783176712</v>
      </c>
      <c r="K26" s="89">
        <f t="shared" si="7"/>
        <v>1070.1642697275793</v>
      </c>
      <c r="L26" s="81"/>
      <c r="M26" s="86"/>
      <c r="N26" s="88">
        <f t="shared" si="8"/>
        <v>279.25068441127348</v>
      </c>
      <c r="O26" s="87">
        <f t="shared" si="9"/>
        <v>279.25068441127348</v>
      </c>
      <c r="P26" s="88">
        <f>$C26*Tariffs!$J$8</f>
        <v>631.52741748453866</v>
      </c>
      <c r="Q26" s="67"/>
      <c r="R26" s="88">
        <f>$C26*Tariffs!K$18</f>
        <v>36.377600000000001</v>
      </c>
      <c r="S26" s="88">
        <f>$C26*Tariffs!L$18</f>
        <v>77.581000000000003</v>
      </c>
      <c r="T26" s="88">
        <f>$C26*Tariffs!M$18</f>
        <v>80.803799999999995</v>
      </c>
      <c r="U26" s="67"/>
      <c r="V26" s="88">
        <f t="shared" si="10"/>
        <v>947.15570189581217</v>
      </c>
      <c r="W26" s="88">
        <f t="shared" si="10"/>
        <v>988.35910189581216</v>
      </c>
      <c r="X26" s="88">
        <f t="shared" si="10"/>
        <v>991.58190189581217</v>
      </c>
      <c r="Y26" s="67"/>
      <c r="Z26" s="88">
        <f>V26*(1+Tariffs!$I$8)</f>
        <v>1112.9079497275793</v>
      </c>
      <c r="AA26" s="88">
        <f>W26*(1+Tariffs!$I$8)</f>
        <v>1161.3219447275794</v>
      </c>
      <c r="AB26" s="88">
        <f>X26*(1+Tariffs!$I$8)</f>
        <v>1165.1087347275793</v>
      </c>
      <c r="AC26" s="82"/>
      <c r="AD26" s="90">
        <f t="shared" si="0"/>
        <v>1400</v>
      </c>
      <c r="AE26" s="88">
        <f t="shared" si="11"/>
        <v>42.74368000000004</v>
      </c>
      <c r="AF26" s="88">
        <f t="shared" si="11"/>
        <v>91.157675000000154</v>
      </c>
      <c r="AG26" s="88">
        <f t="shared" si="11"/>
        <v>94.944465000000037</v>
      </c>
      <c r="AH26" s="87">
        <f t="shared" si="12"/>
        <v>228.84582000000023</v>
      </c>
      <c r="AI26" s="173">
        <f t="shared" si="2"/>
        <v>3.994123258374227E-2</v>
      </c>
      <c r="AJ26" s="173">
        <f t="shared" si="3"/>
        <v>8.5181011531253237E-2</v>
      </c>
      <c r="AK26" s="173">
        <f t="shared" si="4"/>
        <v>8.8719524362525171E-2</v>
      </c>
      <c r="AL26" s="181">
        <f t="shared" si="13"/>
        <v>0.21384176847752068</v>
      </c>
      <c r="AM26" s="66"/>
    </row>
    <row r="27" spans="2:39" x14ac:dyDescent="0.3">
      <c r="B27" s="66"/>
      <c r="C27" s="77">
        <v>1500</v>
      </c>
      <c r="D27" s="78">
        <v>0.99577092511013221</v>
      </c>
      <c r="E27" s="79"/>
      <c r="F27" s="67">
        <f>IF($C27&gt;Tariffs!$E$21,(Tariffs!$F$19*Tariffs!$H$19)+(Tariffs!$F$20*Tariffs!$H$20)+(Tariffs!$F$21*Tariffs!$H$21)+(($C27-Tariffs!$E$21)*Tariffs!$H$22),IF(AND($C27&gt;Tariffs!$E$19,$C27&lt;=Tariffs!$E$20),(Tariffs!$F$19*Tariffs!$H$19)+(($C27-Tariffs!$E$19)*Tariffs!$H$20),IF(AND($C27&gt;Tariffs!$E$20,$C27&lt;=Tariffs!$E$21),(Tariffs!$F$19*Tariffs!$H$19)+(Tariffs!$F$20*Tariffs!$H$20)+(($C27-Tariffs!$E$20)*Tariffs!$H$21),$C27*Tariffs!$H$19)))</f>
        <v>301.93068441127349</v>
      </c>
      <c r="G27" s="80">
        <f t="shared" si="5"/>
        <v>301.93068441127349</v>
      </c>
      <c r="H27" s="67">
        <f>$C27*Tariffs!$J$8</f>
        <v>676.63651873343429</v>
      </c>
      <c r="I27" s="67">
        <f t="shared" si="6"/>
        <v>978.56720314470772</v>
      </c>
      <c r="J27" s="67">
        <f>I27*Tariffs!$I$8</f>
        <v>171.24926055032384</v>
      </c>
      <c r="K27" s="81">
        <f t="shared" si="7"/>
        <v>1149.8164636950316</v>
      </c>
      <c r="L27" s="81"/>
      <c r="M27" s="79"/>
      <c r="N27" s="67">
        <f t="shared" si="8"/>
        <v>301.93068441127349</v>
      </c>
      <c r="O27" s="80">
        <f t="shared" si="9"/>
        <v>301.93068441127349</v>
      </c>
      <c r="P27" s="67">
        <f>$C27*Tariffs!$J$8</f>
        <v>676.63651873343429</v>
      </c>
      <c r="Q27" s="67"/>
      <c r="R27" s="67">
        <f>$C27*Tariffs!K$18</f>
        <v>38.975999999999999</v>
      </c>
      <c r="S27" s="67">
        <f>$C27*Tariffs!L$18</f>
        <v>83.122500000000002</v>
      </c>
      <c r="T27" s="67">
        <f>$C27*Tariffs!M$18</f>
        <v>86.575499999999991</v>
      </c>
      <c r="U27" s="67"/>
      <c r="V27" s="67">
        <f t="shared" si="10"/>
        <v>1017.5432031447077</v>
      </c>
      <c r="W27" s="67">
        <f t="shared" si="10"/>
        <v>1061.6897031447077</v>
      </c>
      <c r="X27" s="67">
        <f t="shared" si="10"/>
        <v>1065.1427031447076</v>
      </c>
      <c r="Y27" s="67"/>
      <c r="Z27" s="67">
        <f>V27*(1+Tariffs!$I$8)</f>
        <v>1195.6132636950317</v>
      </c>
      <c r="AA27" s="67">
        <f>W27*(1+Tariffs!$I$8)</f>
        <v>1247.4854011950315</v>
      </c>
      <c r="AB27" s="67">
        <f>X27*(1+Tariffs!$I$8)</f>
        <v>1251.5426761950316</v>
      </c>
      <c r="AC27" s="82"/>
      <c r="AD27" s="83">
        <f t="shared" si="0"/>
        <v>1500</v>
      </c>
      <c r="AE27" s="67">
        <f t="shared" si="11"/>
        <v>45.796800000000076</v>
      </c>
      <c r="AF27" s="67">
        <f t="shared" si="11"/>
        <v>97.668937499999856</v>
      </c>
      <c r="AG27" s="67">
        <f t="shared" si="11"/>
        <v>101.72621249999997</v>
      </c>
      <c r="AH27" s="80">
        <f t="shared" si="12"/>
        <v>245.19194999999991</v>
      </c>
      <c r="AI27" s="172">
        <f t="shared" si="2"/>
        <v>3.9829661033751629E-2</v>
      </c>
      <c r="AJ27" s="172">
        <f t="shared" si="3"/>
        <v>8.4943067510211634E-2</v>
      </c>
      <c r="AK27" s="172">
        <f t="shared" si="4"/>
        <v>8.8471695885353974E-2</v>
      </c>
      <c r="AL27" s="180">
        <f t="shared" si="13"/>
        <v>0.21324442442931724</v>
      </c>
      <c r="AM27" s="66"/>
    </row>
    <row r="28" spans="2:39" x14ac:dyDescent="0.3">
      <c r="B28" s="66"/>
      <c r="C28" s="84">
        <v>1600</v>
      </c>
      <c r="D28" s="85">
        <v>0.99594713656387668</v>
      </c>
      <c r="E28" s="86"/>
      <c r="F28" s="88">
        <f>IF($C28&gt;Tariffs!$E$21,(Tariffs!$F$19*Tariffs!$H$19)+(Tariffs!$F$20*Tariffs!$H$20)+(Tariffs!$F$21*Tariffs!$H$21)+(($C28-Tariffs!$E$21)*Tariffs!$H$22),IF(AND($C28&gt;Tariffs!$E$19,$C28&lt;=Tariffs!$E$20),(Tariffs!$F$19*Tariffs!$H$19)+(($C28-Tariffs!$E$19)*Tariffs!$H$20),IF(AND($C28&gt;Tariffs!$E$20,$C28&lt;=Tariffs!$E$21),(Tariffs!$F$19*Tariffs!$H$19)+(Tariffs!$F$20*Tariffs!$H$20)+(($C28-Tariffs!$E$20)*Tariffs!$H$21),$C28*Tariffs!$H$19)))</f>
        <v>327.38268441127349</v>
      </c>
      <c r="G28" s="87">
        <f t="shared" si="5"/>
        <v>327.38268441127349</v>
      </c>
      <c r="H28" s="88">
        <f>$C28*Tariffs!$J$8</f>
        <v>721.74561998232991</v>
      </c>
      <c r="I28" s="88">
        <f t="shared" si="6"/>
        <v>1049.1283043936035</v>
      </c>
      <c r="J28" s="88">
        <f>I28*Tariffs!$I$8</f>
        <v>183.5974532688806</v>
      </c>
      <c r="K28" s="89">
        <f t="shared" si="7"/>
        <v>1232.7257576624841</v>
      </c>
      <c r="L28" s="81"/>
      <c r="M28" s="86"/>
      <c r="N28" s="88">
        <f t="shared" si="8"/>
        <v>327.38268441127349</v>
      </c>
      <c r="O28" s="87">
        <f t="shared" si="9"/>
        <v>327.38268441127349</v>
      </c>
      <c r="P28" s="88">
        <f>$C28*Tariffs!$J$8</f>
        <v>721.74561998232991</v>
      </c>
      <c r="Q28" s="67"/>
      <c r="R28" s="88">
        <f>$C28*Tariffs!K$18</f>
        <v>41.574399999999997</v>
      </c>
      <c r="S28" s="88">
        <f>$C28*Tariffs!L$18</f>
        <v>88.664000000000001</v>
      </c>
      <c r="T28" s="88">
        <f>$C28*Tariffs!M$18</f>
        <v>92.347200000000001</v>
      </c>
      <c r="U28" s="67"/>
      <c r="V28" s="88">
        <f t="shared" si="10"/>
        <v>1090.7027043936034</v>
      </c>
      <c r="W28" s="88">
        <f t="shared" si="10"/>
        <v>1137.7923043936034</v>
      </c>
      <c r="X28" s="88">
        <f t="shared" si="10"/>
        <v>1141.4755043936034</v>
      </c>
      <c r="Y28" s="67"/>
      <c r="Z28" s="88">
        <f>V28*(1+Tariffs!$I$8)</f>
        <v>1281.5756776624842</v>
      </c>
      <c r="AA28" s="88">
        <f>W28*(1+Tariffs!$I$8)</f>
        <v>1336.9059576624841</v>
      </c>
      <c r="AB28" s="88">
        <f>X28*(1+Tariffs!$I$8)</f>
        <v>1341.233717662484</v>
      </c>
      <c r="AC28" s="82"/>
      <c r="AD28" s="114">
        <f t="shared" si="0"/>
        <v>1600</v>
      </c>
      <c r="AE28" s="136">
        <f t="shared" si="11"/>
        <v>48.849920000000111</v>
      </c>
      <c r="AF28" s="136">
        <f t="shared" si="11"/>
        <v>104.18020000000001</v>
      </c>
      <c r="AG28" s="136">
        <f t="shared" si="11"/>
        <v>108.50795999999991</v>
      </c>
      <c r="AH28" s="183">
        <f t="shared" si="12"/>
        <v>261.53808000000004</v>
      </c>
      <c r="AI28" s="184">
        <f t="shared" si="2"/>
        <v>3.962756492784747E-2</v>
      </c>
      <c r="AJ28" s="184">
        <f t="shared" si="3"/>
        <v>8.4512065520191859E-2</v>
      </c>
      <c r="AK28" s="184">
        <f t="shared" si="4"/>
        <v>8.802278959900578E-2</v>
      </c>
      <c r="AL28" s="185">
        <f t="shared" si="13"/>
        <v>0.21216242004704511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E4:J4"/>
    <mergeCell ref="N4:AB4"/>
    <mergeCell ref="AE4:AL4"/>
    <mergeCell ref="R5:T5"/>
    <mergeCell ref="V5:X5"/>
    <mergeCell ref="Z5:AB5"/>
    <mergeCell ref="AE5:AH5"/>
    <mergeCell ref="AI5:AL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EB569-4991-466A-BA72-AA36BB17AAA8}">
  <dimension ref="B1:AM719"/>
  <sheetViews>
    <sheetView workbookViewId="0">
      <selection activeCell="D7" sqref="D7:D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1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"General Service Tariff Bill Impacts"&amp;"-"&amp;'CETR Rate'!F2</f>
        <v>General Service Tariff Bill Impacts-Clean Energy Transistion Plan Project 1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 t="str">
        <f>C3</f>
        <v>General Service Tariff Bill Impacts-Clean Energy Transistion Plan Project 1</v>
      </c>
      <c r="AF3" s="66"/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2" t="s">
        <v>103</v>
      </c>
      <c r="F4" s="253"/>
      <c r="G4" s="253"/>
      <c r="H4" s="253"/>
      <c r="I4" s="253"/>
      <c r="J4" s="253"/>
      <c r="K4" s="74"/>
      <c r="L4" s="112"/>
      <c r="M4" s="74"/>
      <c r="N4" s="252" t="s">
        <v>113</v>
      </c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75"/>
      <c r="AD4" s="179"/>
      <c r="AE4" s="251" t="s">
        <v>152</v>
      </c>
      <c r="AF4" s="251"/>
      <c r="AG4" s="251"/>
      <c r="AH4" s="251"/>
      <c r="AI4" s="251"/>
      <c r="AJ4" s="251"/>
      <c r="AK4" s="251"/>
      <c r="AL4" s="251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4" t="s">
        <v>151</v>
      </c>
      <c r="S5" s="254"/>
      <c r="T5" s="254"/>
      <c r="U5" s="73"/>
      <c r="V5" s="255" t="s">
        <v>99</v>
      </c>
      <c r="W5" s="255"/>
      <c r="X5" s="255"/>
      <c r="Y5" s="73"/>
      <c r="Z5" s="255" t="s">
        <v>95</v>
      </c>
      <c r="AA5" s="255"/>
      <c r="AB5" s="255"/>
      <c r="AC5" s="75"/>
      <c r="AD5" s="178"/>
      <c r="AE5" s="250" t="s">
        <v>101</v>
      </c>
      <c r="AF5" s="250"/>
      <c r="AG5" s="250"/>
      <c r="AH5" s="250"/>
      <c r="AI5" s="250" t="s">
        <v>102</v>
      </c>
      <c r="AJ5" s="250"/>
      <c r="AK5" s="250"/>
      <c r="AL5" s="250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156</v>
      </c>
      <c r="AI6" s="176">
        <v>2024</v>
      </c>
      <c r="AJ6" s="176">
        <v>2025</v>
      </c>
      <c r="AK6" s="176">
        <v>2026</v>
      </c>
      <c r="AL6" s="176" t="s">
        <v>156</v>
      </c>
      <c r="AM6" s="66"/>
    </row>
    <row r="7" spans="2:39" x14ac:dyDescent="0.3">
      <c r="B7" s="66"/>
      <c r="C7" s="77">
        <v>15</v>
      </c>
      <c r="D7" s="78">
        <v>0.17784392085033168</v>
      </c>
      <c r="E7" s="67">
        <f>IF($C7&lt;=Tariffs!$E$29,Tariffs!$G$29,IF(AND($C7&gt;Tariffs!$E$29,$C7&lt;=Tariffs!$E$30),Tariffs!$G$30,Tariffs!$G$31))</f>
        <v>10</v>
      </c>
      <c r="F7" s="67">
        <f>IF($C7&gt;Tariffs!$E$31,(Tariffs!$F$29*Tariffs!$H$29)+(Tariffs!$F$30*Tariffs!$H$30)+(Tariffs!$F$31*Tariffs!$H$31)+(($C7-Tariffs!$E$31)*Tariffs!$H$32),IF(AND($C7&gt;Tariffs!$E$29,$C7&lt;=Tariffs!$E$30),(Tariffs!$F$29*Tariffs!$H$29)+(($C7-Tariffs!$E$29)*Tariffs!$H$30),IF(AND($C7&gt;Tariffs!$E$30,$C7&lt;=Tariffs!$E$31),(Tariffs!$F$29*Tariffs!$H$29)+(Tariffs!$F$30*Tariffs!$H$30)+(($C7-Tariffs!$E$30)*Tariffs!$H$31),$C7*Tariffs!$H$29)))</f>
        <v>2.91</v>
      </c>
      <c r="G7" s="80">
        <f>F7+E7</f>
        <v>12.91</v>
      </c>
      <c r="H7" s="67">
        <f>$C7*Tariffs!$J$8</f>
        <v>6.7663651873343422</v>
      </c>
      <c r="I7" s="67">
        <f>H7+G7</f>
        <v>19.676365187334341</v>
      </c>
      <c r="J7" s="67">
        <f>I7*Tariffs!$I$8</f>
        <v>3.4433639077835094</v>
      </c>
      <c r="K7" s="81">
        <f>J7+I7</f>
        <v>23.119729095117851</v>
      </c>
      <c r="L7" s="81"/>
      <c r="M7" s="67">
        <f>E7</f>
        <v>10</v>
      </c>
      <c r="N7" s="67">
        <f>F7</f>
        <v>2.91</v>
      </c>
      <c r="O7" s="80">
        <f>N7+M7</f>
        <v>12.91</v>
      </c>
      <c r="P7" s="67">
        <f>$C7*Tariffs!$J$8</f>
        <v>6.7663651873343422</v>
      </c>
      <c r="Q7" s="67"/>
      <c r="R7" s="67">
        <f>$C7*Tariffs!K$28</f>
        <v>0.38976</v>
      </c>
      <c r="S7" s="67">
        <f>$C7*Tariffs!L$28</f>
        <v>0.83122499999999999</v>
      </c>
      <c r="T7" s="67">
        <f>$C7*Tariffs!M$28</f>
        <v>0.86575499999999994</v>
      </c>
      <c r="U7" s="67"/>
      <c r="V7" s="67">
        <f>$P7+$O7+R7</f>
        <v>20.06612518733434</v>
      </c>
      <c r="W7" s="67">
        <f>$P7+$O7+S7</f>
        <v>20.50759018733434</v>
      </c>
      <c r="X7" s="67">
        <f>$P7+$O7+T7</f>
        <v>20.542120187334341</v>
      </c>
      <c r="Y7" s="67"/>
      <c r="Z7" s="67">
        <f>V7*(1+Tariffs!$I$8)</f>
        <v>23.577697095117848</v>
      </c>
      <c r="AA7" s="67">
        <f>W7*(1+Tariffs!$I$8)</f>
        <v>24.09641847011785</v>
      </c>
      <c r="AB7" s="67">
        <f>X7*(1+Tariffs!$I$8)</f>
        <v>24.136991220117853</v>
      </c>
      <c r="AC7" s="82"/>
      <c r="AD7" s="83">
        <f t="shared" ref="AD7:AD28" si="0">C7</f>
        <v>15</v>
      </c>
      <c r="AE7" s="67">
        <f>Z7-$K7</f>
        <v>0.45796799999999749</v>
      </c>
      <c r="AF7" s="67">
        <f t="shared" ref="AF7:AG22" si="1">AA7-$K7</f>
        <v>0.97668937499999942</v>
      </c>
      <c r="AG7" s="67">
        <f t="shared" si="1"/>
        <v>1.017262125000002</v>
      </c>
      <c r="AH7" s="80">
        <f>SUM(AE7:AG7)</f>
        <v>2.4519194999999989</v>
      </c>
      <c r="AI7" s="172">
        <f t="shared" ref="AI7:AI28" si="2">Z7/$K7-1</f>
        <v>1.9808536601612081E-2</v>
      </c>
      <c r="AJ7" s="172">
        <f t="shared" ref="AJ7:AJ28" si="3">AA7/$K7-1</f>
        <v>4.2244845126937269E-2</v>
      </c>
      <c r="AK7" s="172">
        <f t="shared" ref="AK7:AK28" si="4">AB7/$K7-1</f>
        <v>4.3999742419768006E-2</v>
      </c>
      <c r="AL7" s="180">
        <f>SUM(AI7:AK7)</f>
        <v>0.10605312414831736</v>
      </c>
      <c r="AM7" s="66"/>
    </row>
    <row r="8" spans="2:39" x14ac:dyDescent="0.3">
      <c r="B8" s="66"/>
      <c r="C8" s="84">
        <v>50</v>
      </c>
      <c r="D8" s="85">
        <v>0.26108012100019429</v>
      </c>
      <c r="E8" s="88">
        <f>IF($C8&lt;=Tariffs!$E$29,Tariffs!$G$29,IF(AND($C8&gt;Tariffs!$E$29,$C8&lt;=Tariffs!$E$30),Tariffs!$G$30,Tariffs!$G$31))</f>
        <v>10</v>
      </c>
      <c r="F8" s="88">
        <f>IF($C8&gt;Tariffs!$E$31,(Tariffs!$F$29*Tariffs!$H$29)+(Tariffs!$F$30*Tariffs!$H$30)+(Tariffs!$F$31*Tariffs!$H$31)+(($C8-Tariffs!$E$31)*Tariffs!$H$32),IF(AND($C8&gt;Tariffs!$E$29,$C8&lt;=Tariffs!$E$30),(Tariffs!$F$29*Tariffs!$H$29)+(($C8-Tariffs!$E$29)*Tariffs!$H$30),IF(AND($C8&gt;Tariffs!$E$30,$C8&lt;=Tariffs!$E$31),(Tariffs!$F$29*Tariffs!$H$29)+(Tariffs!$F$30*Tariffs!$H$30)+(($C8-Tariffs!$E$30)*Tariffs!$H$31),$C8*Tariffs!$H$29)))</f>
        <v>9.7000000000000011</v>
      </c>
      <c r="G8" s="87">
        <f t="shared" ref="G8:G28" si="5">F8+E8</f>
        <v>19.700000000000003</v>
      </c>
      <c r="H8" s="88">
        <f>$C8*Tariffs!$J$8</f>
        <v>22.55455062444781</v>
      </c>
      <c r="I8" s="88">
        <f t="shared" ref="I8:I28" si="6">H8+G8</f>
        <v>42.254550624447816</v>
      </c>
      <c r="J8" s="88">
        <f>I8*Tariffs!$I$8</f>
        <v>7.3945463592783671</v>
      </c>
      <c r="K8" s="89">
        <f t="shared" ref="K8:K28" si="7">J8+I8</f>
        <v>49.649096983726182</v>
      </c>
      <c r="L8" s="81"/>
      <c r="M8" s="88">
        <f t="shared" ref="M8:M28" si="8">E8</f>
        <v>10</v>
      </c>
      <c r="N8" s="88">
        <f t="shared" ref="N8:N28" si="9">F8</f>
        <v>9.7000000000000011</v>
      </c>
      <c r="O8" s="87">
        <f t="shared" ref="O8:O28" si="10">N8+M8</f>
        <v>19.700000000000003</v>
      </c>
      <c r="P8" s="88">
        <f>$C8*Tariffs!$J$8</f>
        <v>22.55455062444781</v>
      </c>
      <c r="Q8" s="67"/>
      <c r="R8" s="88">
        <f>$C8*Tariffs!K$28</f>
        <v>1.2991999999999999</v>
      </c>
      <c r="S8" s="88">
        <f>$C8*Tariffs!L$28</f>
        <v>2.77075</v>
      </c>
      <c r="T8" s="88">
        <f>$C8*Tariffs!M$28</f>
        <v>2.88585</v>
      </c>
      <c r="U8" s="67"/>
      <c r="V8" s="88">
        <f t="shared" ref="V8:X28" si="11">$P8+$O8+R8</f>
        <v>43.553750624447815</v>
      </c>
      <c r="W8" s="88">
        <f t="shared" si="11"/>
        <v>45.025300624447816</v>
      </c>
      <c r="X8" s="88">
        <f t="shared" si="11"/>
        <v>45.140400624447814</v>
      </c>
      <c r="Y8" s="67"/>
      <c r="Z8" s="88">
        <f>V8*(1+Tariffs!$I$8)</f>
        <v>51.175656983726185</v>
      </c>
      <c r="AA8" s="88">
        <f>W8*(1+Tariffs!$I$8)</f>
        <v>52.904728233726189</v>
      </c>
      <c r="AB8" s="88">
        <f>X8*(1+Tariffs!$I$8)</f>
        <v>53.039970733726186</v>
      </c>
      <c r="AC8" s="82"/>
      <c r="AD8" s="90">
        <f t="shared" si="0"/>
        <v>50</v>
      </c>
      <c r="AE8" s="88">
        <f t="shared" ref="AE8:AG28" si="12">Z8-$K8</f>
        <v>1.5265600000000035</v>
      </c>
      <c r="AF8" s="88">
        <f t="shared" si="1"/>
        <v>3.2556312500000075</v>
      </c>
      <c r="AG8" s="88">
        <f t="shared" si="1"/>
        <v>3.3908737500000043</v>
      </c>
      <c r="AH8" s="87">
        <f t="shared" ref="AH8:AH28" si="13">SUM(AE8:AG8)</f>
        <v>8.1730650000000153</v>
      </c>
      <c r="AI8" s="173">
        <f t="shared" si="2"/>
        <v>3.0746984189871096E-2</v>
      </c>
      <c r="AJ8" s="173">
        <f t="shared" si="3"/>
        <v>6.5572818999449778E-2</v>
      </c>
      <c r="AK8" s="173">
        <f t="shared" si="4"/>
        <v>6.8296785963931184E-2</v>
      </c>
      <c r="AL8" s="181">
        <f t="shared" ref="AL8:AL28" si="14">SUM(AI8:AK8)</f>
        <v>0.16461658915325206</v>
      </c>
      <c r="AM8" s="66"/>
    </row>
    <row r="9" spans="2:39" x14ac:dyDescent="0.3">
      <c r="B9" s="66"/>
      <c r="C9" s="77">
        <v>100</v>
      </c>
      <c r="D9" s="78">
        <v>0.37430272250437102</v>
      </c>
      <c r="E9" s="67">
        <f>IF($C9&lt;=Tariffs!$E$29,Tariffs!$G$29,IF(AND($C9&gt;Tariffs!$E$29,$C9&lt;=Tariffs!$E$30),Tariffs!$G$30,Tariffs!$G$31))</f>
        <v>10</v>
      </c>
      <c r="F9" s="67">
        <f>IF($C9&gt;Tariffs!$E$31,(Tariffs!$F$29*Tariffs!$H$29)+(Tariffs!$F$30*Tariffs!$H$30)+(Tariffs!$F$31*Tariffs!$H$31)+(($C9-Tariffs!$E$31)*Tariffs!$H$32),IF(AND($C9&gt;Tariffs!$E$29,$C9&lt;=Tariffs!$E$30),(Tariffs!$F$29*Tariffs!$H$29)+(($C9-Tariffs!$E$29)*Tariffs!$H$30),IF(AND($C9&gt;Tariffs!$E$30,$C9&lt;=Tariffs!$E$31),(Tariffs!$F$29*Tariffs!$H$29)+(Tariffs!$F$30*Tariffs!$H$30)+(($C9-Tariffs!$E$30)*Tariffs!$H$31),$C9*Tariffs!$H$29)))</f>
        <v>19.400000000000002</v>
      </c>
      <c r="G9" s="80">
        <f t="shared" si="5"/>
        <v>29.400000000000002</v>
      </c>
      <c r="H9" s="67">
        <f>$C9*Tariffs!$J$8</f>
        <v>45.10910124889562</v>
      </c>
      <c r="I9" s="67">
        <f t="shared" si="6"/>
        <v>74.509101248895618</v>
      </c>
      <c r="J9" s="67">
        <f>I9*Tariffs!$I$8</f>
        <v>13.039092718556732</v>
      </c>
      <c r="K9" s="81">
        <f t="shared" si="7"/>
        <v>87.548193967452349</v>
      </c>
      <c r="L9" s="81"/>
      <c r="M9" s="67">
        <f t="shared" si="8"/>
        <v>10</v>
      </c>
      <c r="N9" s="67">
        <f t="shared" si="9"/>
        <v>19.400000000000002</v>
      </c>
      <c r="O9" s="80">
        <f t="shared" si="10"/>
        <v>29.400000000000002</v>
      </c>
      <c r="P9" s="67">
        <f>$C9*Tariffs!$J$8</f>
        <v>45.10910124889562</v>
      </c>
      <c r="Q9" s="67"/>
      <c r="R9" s="67">
        <f>$C9*Tariffs!K$28</f>
        <v>2.5983999999999998</v>
      </c>
      <c r="S9" s="67">
        <f>$C9*Tariffs!L$28</f>
        <v>5.5415000000000001</v>
      </c>
      <c r="T9" s="67">
        <f>$C9*Tariffs!M$28</f>
        <v>5.7717000000000001</v>
      </c>
      <c r="U9" s="67"/>
      <c r="V9" s="67">
        <f t="shared" si="11"/>
        <v>77.107501248895616</v>
      </c>
      <c r="W9" s="67">
        <f t="shared" si="11"/>
        <v>80.050601248895617</v>
      </c>
      <c r="X9" s="67">
        <f t="shared" si="11"/>
        <v>80.280801248895614</v>
      </c>
      <c r="Y9" s="67"/>
      <c r="Z9" s="67">
        <f>V9*(1+Tariffs!$I$8)</f>
        <v>90.601313967452356</v>
      </c>
      <c r="AA9" s="67">
        <f>W9*(1+Tariffs!$I$8)</f>
        <v>94.05945646745235</v>
      </c>
      <c r="AB9" s="67">
        <f>X9*(1+Tariffs!$I$8)</f>
        <v>94.329941467452343</v>
      </c>
      <c r="AC9" s="82"/>
      <c r="AD9" s="83">
        <f t="shared" si="0"/>
        <v>100</v>
      </c>
      <c r="AE9" s="67">
        <f t="shared" si="12"/>
        <v>3.0531200000000069</v>
      </c>
      <c r="AF9" s="67">
        <f t="shared" si="1"/>
        <v>6.5112625000000008</v>
      </c>
      <c r="AG9" s="67">
        <f t="shared" si="1"/>
        <v>6.7817474999999945</v>
      </c>
      <c r="AH9" s="80">
        <f t="shared" si="13"/>
        <v>16.346130000000002</v>
      </c>
      <c r="AI9" s="172">
        <f t="shared" si="2"/>
        <v>3.4873592037033552E-2</v>
      </c>
      <c r="AJ9" s="172">
        <f t="shared" si="3"/>
        <v>7.4373464544804646E-2</v>
      </c>
      <c r="AK9" s="172">
        <f t="shared" si="4"/>
        <v>7.7463019996977245E-2</v>
      </c>
      <c r="AL9" s="180">
        <f t="shared" si="14"/>
        <v>0.18671007657881544</v>
      </c>
      <c r="AM9" s="66"/>
    </row>
    <row r="10" spans="2:39" x14ac:dyDescent="0.3">
      <c r="B10" s="66"/>
      <c r="C10" s="84">
        <v>150</v>
      </c>
      <c r="D10" s="85">
        <v>0.47113063025559909</v>
      </c>
      <c r="E10" s="88">
        <f>IF($C10&lt;=Tariffs!$E$29,Tariffs!$G$29,IF(AND($C10&gt;Tariffs!$E$29,$C10&lt;=Tariffs!$E$30),Tariffs!$G$30,Tariffs!$G$31))</f>
        <v>10</v>
      </c>
      <c r="F10" s="88">
        <f>IF($C10&gt;Tariffs!$E$31,(Tariffs!$F$29*Tariffs!$H$29)+(Tariffs!$F$30*Tariffs!$H$30)+(Tariffs!$F$31*Tariffs!$H$31)+(($C10-Tariffs!$E$31)*Tariffs!$H$32),IF(AND($C10&gt;Tariffs!$E$29,$C10&lt;=Tariffs!$E$30),(Tariffs!$F$29*Tariffs!$H$29)+(($C10-Tariffs!$E$29)*Tariffs!$H$30),IF(AND($C10&gt;Tariffs!$E$30,$C10&lt;=Tariffs!$E$31),(Tariffs!$F$29*Tariffs!$H$29)+(Tariffs!$F$30*Tariffs!$H$30)+(($C10-Tariffs!$E$30)*Tariffs!$H$31),$C10*Tariffs!$H$29)))</f>
        <v>29.1</v>
      </c>
      <c r="G10" s="87">
        <f t="shared" si="5"/>
        <v>39.1</v>
      </c>
      <c r="H10" s="88">
        <f>$C10*Tariffs!$J$8</f>
        <v>67.663651873343426</v>
      </c>
      <c r="I10" s="88">
        <f t="shared" si="6"/>
        <v>106.76365187334343</v>
      </c>
      <c r="J10" s="88">
        <f>I10*Tariffs!$I$8</f>
        <v>18.6836390778351</v>
      </c>
      <c r="K10" s="89">
        <f t="shared" si="7"/>
        <v>125.44729095117853</v>
      </c>
      <c r="L10" s="81"/>
      <c r="M10" s="88">
        <f t="shared" si="8"/>
        <v>10</v>
      </c>
      <c r="N10" s="88">
        <f t="shared" si="9"/>
        <v>29.1</v>
      </c>
      <c r="O10" s="87">
        <f t="shared" si="10"/>
        <v>39.1</v>
      </c>
      <c r="P10" s="88">
        <f>$C10*Tariffs!$J$8</f>
        <v>67.663651873343426</v>
      </c>
      <c r="Q10" s="67"/>
      <c r="R10" s="88">
        <f>$C10*Tariffs!K$28</f>
        <v>3.8976000000000002</v>
      </c>
      <c r="S10" s="88">
        <f>$C10*Tariffs!L$28</f>
        <v>8.3122500000000006</v>
      </c>
      <c r="T10" s="88">
        <f>$C10*Tariffs!M$28</f>
        <v>8.6575499999999987</v>
      </c>
      <c r="U10" s="67"/>
      <c r="V10" s="88">
        <f t="shared" si="11"/>
        <v>110.66125187334343</v>
      </c>
      <c r="W10" s="88">
        <f t="shared" si="11"/>
        <v>115.07590187334344</v>
      </c>
      <c r="X10" s="88">
        <f t="shared" si="11"/>
        <v>115.42120187334343</v>
      </c>
      <c r="Y10" s="67"/>
      <c r="Z10" s="88">
        <f>V10*(1+Tariffs!$I$8)</f>
        <v>130.02697095117853</v>
      </c>
      <c r="AA10" s="88">
        <f>W10*(1+Tariffs!$I$8)</f>
        <v>135.21418470117854</v>
      </c>
      <c r="AB10" s="88">
        <f>X10*(1+Tariffs!$I$8)</f>
        <v>135.61991220117855</v>
      </c>
      <c r="AC10" s="82"/>
      <c r="AD10" s="90">
        <f t="shared" si="0"/>
        <v>150</v>
      </c>
      <c r="AE10" s="88">
        <f t="shared" si="12"/>
        <v>4.5796799999999962</v>
      </c>
      <c r="AF10" s="88">
        <f t="shared" si="1"/>
        <v>9.7668937500000084</v>
      </c>
      <c r="AG10" s="88">
        <f t="shared" si="1"/>
        <v>10.17262125000002</v>
      </c>
      <c r="AH10" s="87">
        <f t="shared" si="13"/>
        <v>24.519195000000025</v>
      </c>
      <c r="AI10" s="173">
        <f t="shared" si="2"/>
        <v>3.6506806685704385E-2</v>
      </c>
      <c r="AJ10" s="173">
        <f t="shared" si="3"/>
        <v>7.7856553744162449E-2</v>
      </c>
      <c r="AK10" s="173">
        <f t="shared" si="4"/>
        <v>8.1090800549523223E-2</v>
      </c>
      <c r="AL10" s="181">
        <f t="shared" si="14"/>
        <v>0.19545416097939006</v>
      </c>
      <c r="AM10" s="66"/>
    </row>
    <row r="11" spans="2:39" x14ac:dyDescent="0.3">
      <c r="B11" s="66"/>
      <c r="C11" s="77">
        <v>200</v>
      </c>
      <c r="D11" s="78">
        <v>0.54969749951433411</v>
      </c>
      <c r="E11" s="67">
        <f>IF($C11&lt;=Tariffs!$E$29,Tariffs!$G$29,IF(AND($C11&gt;Tariffs!$E$29,$C11&lt;=Tariffs!$E$30),Tariffs!$G$30,Tariffs!$G$31))</f>
        <v>13</v>
      </c>
      <c r="F11" s="67">
        <f>IF($C11&gt;Tariffs!$E$31,(Tariffs!$F$29*Tariffs!$H$29)+(Tariffs!$F$30*Tariffs!$H$30)+(Tariffs!$F$31*Tariffs!$H$31)+(($C11-Tariffs!$E$31)*Tariffs!$H$32),IF(AND($C11&gt;Tariffs!$E$29,$C11&lt;=Tariffs!$E$30),(Tariffs!$F$29*Tariffs!$H$29)+(($C11-Tariffs!$E$29)*Tariffs!$H$30),IF(AND($C11&gt;Tariffs!$E$30,$C11&lt;=Tariffs!$E$31),(Tariffs!$F$29*Tariffs!$H$29)+(Tariffs!$F$30*Tariffs!$H$30)+(($C11-Tariffs!$E$30)*Tariffs!$H$31),$C11*Tariffs!$H$29)))</f>
        <v>40.950000000000003</v>
      </c>
      <c r="G11" s="80">
        <f t="shared" si="5"/>
        <v>53.95</v>
      </c>
      <c r="H11" s="67">
        <f>$C11*Tariffs!$J$8</f>
        <v>90.218202497791239</v>
      </c>
      <c r="I11" s="67">
        <f t="shared" si="6"/>
        <v>144.16820249779124</v>
      </c>
      <c r="J11" s="67">
        <f>I11*Tariffs!$I$8</f>
        <v>25.229435437113466</v>
      </c>
      <c r="K11" s="81">
        <f t="shared" si="7"/>
        <v>169.39763793490471</v>
      </c>
      <c r="L11" s="81"/>
      <c r="M11" s="67">
        <f t="shared" si="8"/>
        <v>13</v>
      </c>
      <c r="N11" s="67">
        <f t="shared" si="9"/>
        <v>40.950000000000003</v>
      </c>
      <c r="O11" s="80">
        <f t="shared" si="10"/>
        <v>53.95</v>
      </c>
      <c r="P11" s="67">
        <f>$C11*Tariffs!$J$8</f>
        <v>90.218202497791239</v>
      </c>
      <c r="Q11" s="67"/>
      <c r="R11" s="67">
        <f>$C11*Tariffs!K$28</f>
        <v>5.1967999999999996</v>
      </c>
      <c r="S11" s="67">
        <f>$C11*Tariffs!L$28</f>
        <v>11.083</v>
      </c>
      <c r="T11" s="67">
        <f>$C11*Tariffs!M$28</f>
        <v>11.5434</v>
      </c>
      <c r="U11" s="67"/>
      <c r="V11" s="67">
        <f t="shared" si="11"/>
        <v>149.36500249779124</v>
      </c>
      <c r="W11" s="67">
        <f t="shared" si="11"/>
        <v>155.25120249779124</v>
      </c>
      <c r="X11" s="67">
        <f t="shared" si="11"/>
        <v>155.71160249779123</v>
      </c>
      <c r="Y11" s="67"/>
      <c r="Z11" s="67">
        <f>V11*(1+Tariffs!$I$8)</f>
        <v>175.50387793490472</v>
      </c>
      <c r="AA11" s="67">
        <f>W11*(1+Tariffs!$I$8)</f>
        <v>182.42016293490471</v>
      </c>
      <c r="AB11" s="67">
        <f>X11*(1+Tariffs!$I$8)</f>
        <v>182.9611329349047</v>
      </c>
      <c r="AC11" s="82"/>
      <c r="AD11" s="83">
        <f t="shared" si="0"/>
        <v>200</v>
      </c>
      <c r="AE11" s="67">
        <f t="shared" si="12"/>
        <v>6.1062400000000139</v>
      </c>
      <c r="AF11" s="67">
        <f t="shared" si="1"/>
        <v>13.022525000000002</v>
      </c>
      <c r="AG11" s="67">
        <f t="shared" si="1"/>
        <v>13.563494999999989</v>
      </c>
      <c r="AH11" s="80">
        <f t="shared" si="13"/>
        <v>32.692260000000005</v>
      </c>
      <c r="AI11" s="172">
        <f t="shared" si="2"/>
        <v>3.6046783617764921E-2</v>
      </c>
      <c r="AJ11" s="172">
        <f t="shared" si="3"/>
        <v>7.6875481610931606E-2</v>
      </c>
      <c r="AK11" s="172">
        <f t="shared" si="4"/>
        <v>8.0068973601698623E-2</v>
      </c>
      <c r="AL11" s="180">
        <f t="shared" si="14"/>
        <v>0.19299123883039515</v>
      </c>
      <c r="AM11" s="66"/>
    </row>
    <row r="12" spans="2:39" x14ac:dyDescent="0.3">
      <c r="B12" s="66"/>
      <c r="C12" s="91">
        <v>250</v>
      </c>
      <c r="D12" s="92">
        <v>0.61333361085671467</v>
      </c>
      <c r="E12" s="95">
        <f>IF($C12&lt;=Tariffs!$E$29,Tariffs!$G$29,IF(AND($C12&gt;Tariffs!$E$29,$C12&lt;=Tariffs!$E$30),Tariffs!$G$30,Tariffs!$G$31))</f>
        <v>13</v>
      </c>
      <c r="F12" s="95">
        <f>IF($C12&gt;Tariffs!$E$31,(Tariffs!$F$29*Tariffs!$H$29)+(Tariffs!$F$30*Tariffs!$H$30)+(Tariffs!$F$31*Tariffs!$H$31)+(($C12-Tariffs!$E$31)*Tariffs!$H$32),IF(AND($C12&gt;Tariffs!$E$29,$C12&lt;=Tariffs!$E$30),(Tariffs!$F$29*Tariffs!$H$29)+(($C12-Tariffs!$E$29)*Tariffs!$H$30),IF(AND($C12&gt;Tariffs!$E$30,$C12&lt;=Tariffs!$E$31),(Tariffs!$F$29*Tariffs!$H$29)+(Tariffs!$F$30*Tariffs!$H$30)+(($C12-Tariffs!$E$30)*Tariffs!$H$31),$C12*Tariffs!$H$29)))</f>
        <v>52.8</v>
      </c>
      <c r="G12" s="94">
        <f t="shared" si="5"/>
        <v>65.8</v>
      </c>
      <c r="H12" s="95">
        <f>$C12*Tariffs!$J$8</f>
        <v>112.77275312223904</v>
      </c>
      <c r="I12" s="95">
        <f t="shared" si="6"/>
        <v>178.57275312223902</v>
      </c>
      <c r="J12" s="95">
        <f>I12*Tariffs!$I$8</f>
        <v>31.250231796391827</v>
      </c>
      <c r="K12" s="96">
        <f t="shared" si="7"/>
        <v>209.82298491863085</v>
      </c>
      <c r="L12" s="113"/>
      <c r="M12" s="95">
        <f t="shared" si="8"/>
        <v>13</v>
      </c>
      <c r="N12" s="95">
        <f t="shared" si="9"/>
        <v>52.8</v>
      </c>
      <c r="O12" s="94">
        <f t="shared" si="10"/>
        <v>65.8</v>
      </c>
      <c r="P12" s="95">
        <f>$C12*Tariffs!$J$8</f>
        <v>112.77275312223904</v>
      </c>
      <c r="Q12" s="171"/>
      <c r="R12" s="95">
        <f>$C12*Tariffs!K$28</f>
        <v>6.4960000000000004</v>
      </c>
      <c r="S12" s="95">
        <f>$C12*Tariffs!L$28</f>
        <v>13.85375</v>
      </c>
      <c r="T12" s="95">
        <f>$C12*Tariffs!M$28</f>
        <v>14.42925</v>
      </c>
      <c r="U12" s="171"/>
      <c r="V12" s="95">
        <f t="shared" si="11"/>
        <v>185.06875312223903</v>
      </c>
      <c r="W12" s="95">
        <f t="shared" si="11"/>
        <v>192.42650312223901</v>
      </c>
      <c r="X12" s="95">
        <f t="shared" si="11"/>
        <v>193.00200312223902</v>
      </c>
      <c r="Y12" s="67"/>
      <c r="Z12" s="95">
        <f>V12*(1+Tariffs!$I$8)</f>
        <v>217.45578491863088</v>
      </c>
      <c r="AA12" s="95">
        <f>W12*(1+Tariffs!$I$8)</f>
        <v>226.10114116863085</v>
      </c>
      <c r="AB12" s="95">
        <f>X12*(1+Tariffs!$I$8)</f>
        <v>226.77735366863087</v>
      </c>
      <c r="AC12" s="82"/>
      <c r="AD12" s="175">
        <f t="shared" si="0"/>
        <v>250</v>
      </c>
      <c r="AE12" s="95">
        <f t="shared" si="12"/>
        <v>7.6328000000000316</v>
      </c>
      <c r="AF12" s="95">
        <f t="shared" si="1"/>
        <v>16.278156249999995</v>
      </c>
      <c r="AG12" s="95">
        <f t="shared" si="1"/>
        <v>16.954368750000015</v>
      </c>
      <c r="AH12" s="94">
        <f t="shared" si="13"/>
        <v>40.865325000000041</v>
      </c>
      <c r="AI12" s="174">
        <f t="shared" si="2"/>
        <v>3.6377330171716071E-2</v>
      </c>
      <c r="AJ12" s="174">
        <f t="shared" si="3"/>
        <v>7.7580424548400417E-2</v>
      </c>
      <c r="AK12" s="174">
        <f t="shared" si="4"/>
        <v>8.0803200643508655E-2</v>
      </c>
      <c r="AL12" s="182">
        <f t="shared" si="14"/>
        <v>0.19476095536362514</v>
      </c>
      <c r="AM12" s="66"/>
    </row>
    <row r="13" spans="2:39" x14ac:dyDescent="0.3">
      <c r="B13" s="66"/>
      <c r="C13" s="77">
        <v>300</v>
      </c>
      <c r="D13" s="78">
        <v>0.66466156023644996</v>
      </c>
      <c r="E13" s="67">
        <f>IF($C13&lt;=Tariffs!$E$29,Tariffs!$G$29,IF(AND($C13&gt;Tariffs!$E$29,$C13&lt;=Tariffs!$E$30),Tariffs!$G$30,Tariffs!$G$31))</f>
        <v>13</v>
      </c>
      <c r="F13" s="67">
        <f>IF($C13&gt;Tariffs!$E$31,(Tariffs!$F$29*Tariffs!$H$29)+(Tariffs!$F$30*Tariffs!$H$30)+(Tariffs!$F$31*Tariffs!$H$31)+(($C13-Tariffs!$E$31)*Tariffs!$H$32),IF(AND($C13&gt;Tariffs!$E$29,$C13&lt;=Tariffs!$E$30),(Tariffs!$F$29*Tariffs!$H$29)+(($C13-Tariffs!$E$29)*Tariffs!$H$30),IF(AND($C13&gt;Tariffs!$E$30,$C13&lt;=Tariffs!$E$31),(Tariffs!$F$29*Tariffs!$H$29)+(Tariffs!$F$30*Tariffs!$H$30)+(($C13-Tariffs!$E$30)*Tariffs!$H$31),$C13*Tariffs!$H$29)))</f>
        <v>64.650000000000006</v>
      </c>
      <c r="G13" s="80">
        <f t="shared" si="5"/>
        <v>77.650000000000006</v>
      </c>
      <c r="H13" s="67">
        <f>$C13*Tariffs!$J$8</f>
        <v>135.32730374668685</v>
      </c>
      <c r="I13" s="67">
        <f t="shared" si="6"/>
        <v>212.97730374668686</v>
      </c>
      <c r="J13" s="67">
        <f>I13*Tariffs!$I$8</f>
        <v>37.271028155670194</v>
      </c>
      <c r="K13" s="81">
        <f t="shared" si="7"/>
        <v>250.24833190235705</v>
      </c>
      <c r="L13" s="81"/>
      <c r="M13" s="67">
        <f t="shared" si="8"/>
        <v>13</v>
      </c>
      <c r="N13" s="67">
        <f t="shared" si="9"/>
        <v>64.650000000000006</v>
      </c>
      <c r="O13" s="80">
        <f t="shared" si="10"/>
        <v>77.650000000000006</v>
      </c>
      <c r="P13" s="67">
        <f>$C13*Tariffs!$J$8</f>
        <v>135.32730374668685</v>
      </c>
      <c r="Q13" s="67"/>
      <c r="R13" s="67">
        <f>$C13*Tariffs!K$28</f>
        <v>7.7952000000000004</v>
      </c>
      <c r="S13" s="67">
        <f>$C13*Tariffs!L$28</f>
        <v>16.624500000000001</v>
      </c>
      <c r="T13" s="67">
        <f>$C13*Tariffs!M$28</f>
        <v>17.315099999999997</v>
      </c>
      <c r="U13" s="67"/>
      <c r="V13" s="67">
        <f t="shared" si="11"/>
        <v>220.77250374668685</v>
      </c>
      <c r="W13" s="67">
        <f t="shared" si="11"/>
        <v>229.60180374668687</v>
      </c>
      <c r="X13" s="67">
        <f t="shared" si="11"/>
        <v>230.29240374668686</v>
      </c>
      <c r="Y13" s="67"/>
      <c r="Z13" s="67">
        <f>V13*(1+Tariffs!$I$8)</f>
        <v>259.40769190235704</v>
      </c>
      <c r="AA13" s="67">
        <f>W13*(1+Tariffs!$I$8)</f>
        <v>269.78211940235707</v>
      </c>
      <c r="AB13" s="67">
        <f>X13*(1+Tariffs!$I$8)</f>
        <v>270.59357440235709</v>
      </c>
      <c r="AC13" s="82"/>
      <c r="AD13" s="83">
        <f t="shared" si="0"/>
        <v>300</v>
      </c>
      <c r="AE13" s="67">
        <f t="shared" si="12"/>
        <v>9.1593599999999924</v>
      </c>
      <c r="AF13" s="67">
        <f t="shared" si="1"/>
        <v>19.533787500000017</v>
      </c>
      <c r="AG13" s="67">
        <f t="shared" si="1"/>
        <v>20.34524250000004</v>
      </c>
      <c r="AH13" s="80">
        <f t="shared" si="13"/>
        <v>49.038390000000049</v>
      </c>
      <c r="AI13" s="172">
        <f t="shared" si="2"/>
        <v>3.6601083133588341E-2</v>
      </c>
      <c r="AJ13" s="172">
        <f t="shared" si="3"/>
        <v>7.8057613217664912E-2</v>
      </c>
      <c r="AK13" s="172">
        <f t="shared" si="4"/>
        <v>8.1300212254515447E-2</v>
      </c>
      <c r="AL13" s="180">
        <f t="shared" si="14"/>
        <v>0.1959589086057687</v>
      </c>
      <c r="AM13" s="66"/>
    </row>
    <row r="14" spans="2:39" x14ac:dyDescent="0.3">
      <c r="B14" s="66"/>
      <c r="C14" s="91">
        <v>350</v>
      </c>
      <c r="D14" s="92">
        <v>0.70628312935364812</v>
      </c>
      <c r="E14" s="95">
        <f>IF($C14&lt;=Tariffs!$E$29,Tariffs!$G$29,IF(AND($C14&gt;Tariffs!$E$29,$C14&lt;=Tariffs!$E$30),Tariffs!$G$30,Tariffs!$G$31))</f>
        <v>13</v>
      </c>
      <c r="F14" s="95">
        <f>IF($C14&gt;Tariffs!$E$31,(Tariffs!$F$29*Tariffs!$H$29)+(Tariffs!$F$30*Tariffs!$H$30)+(Tariffs!$F$31*Tariffs!$H$31)+(($C14-Tariffs!$E$31)*Tariffs!$H$32),IF(AND($C14&gt;Tariffs!$E$29,$C14&lt;=Tariffs!$E$30),(Tariffs!$F$29*Tariffs!$H$29)+(($C14-Tariffs!$E$29)*Tariffs!$H$30),IF(AND($C14&gt;Tariffs!$E$30,$C14&lt;=Tariffs!$E$31),(Tariffs!$F$29*Tariffs!$H$29)+(Tariffs!$F$30*Tariffs!$H$30)+(($C14-Tariffs!$E$30)*Tariffs!$H$31),$C14*Tariffs!$H$29)))</f>
        <v>76.5</v>
      </c>
      <c r="G14" s="94">
        <f t="shared" si="5"/>
        <v>89.5</v>
      </c>
      <c r="H14" s="95">
        <f>$C14*Tariffs!$J$8</f>
        <v>157.88185437113466</v>
      </c>
      <c r="I14" s="95">
        <f t="shared" si="6"/>
        <v>247.38185437113466</v>
      </c>
      <c r="J14" s="95">
        <f>I14*Tariffs!$I$8</f>
        <v>43.291824514948566</v>
      </c>
      <c r="K14" s="96">
        <f t="shared" si="7"/>
        <v>290.67367888608322</v>
      </c>
      <c r="L14" s="113"/>
      <c r="M14" s="95">
        <f t="shared" si="8"/>
        <v>13</v>
      </c>
      <c r="N14" s="95">
        <f t="shared" si="9"/>
        <v>76.5</v>
      </c>
      <c r="O14" s="94">
        <f t="shared" si="10"/>
        <v>89.5</v>
      </c>
      <c r="P14" s="95">
        <f>$C14*Tariffs!$J$8</f>
        <v>157.88185437113466</v>
      </c>
      <c r="Q14" s="171"/>
      <c r="R14" s="95">
        <f>$C14*Tariffs!K$28</f>
        <v>9.0944000000000003</v>
      </c>
      <c r="S14" s="95">
        <f>$C14*Tariffs!L$28</f>
        <v>19.395250000000001</v>
      </c>
      <c r="T14" s="95">
        <f>$C14*Tariffs!M$28</f>
        <v>20.200949999999999</v>
      </c>
      <c r="U14" s="171"/>
      <c r="V14" s="95">
        <f t="shared" si="11"/>
        <v>256.47625437113464</v>
      </c>
      <c r="W14" s="95">
        <f t="shared" si="11"/>
        <v>266.77710437113467</v>
      </c>
      <c r="X14" s="95">
        <f t="shared" si="11"/>
        <v>267.58280437113467</v>
      </c>
      <c r="Y14" s="171"/>
      <c r="Z14" s="95">
        <f>V14*(1+Tariffs!$I$8)</f>
        <v>301.35959888608323</v>
      </c>
      <c r="AA14" s="95">
        <f>W14*(1+Tariffs!$I$8)</f>
        <v>313.46309763608326</v>
      </c>
      <c r="AB14" s="95">
        <f>X14*(1+Tariffs!$I$8)</f>
        <v>314.40979513608323</v>
      </c>
      <c r="AC14" s="186"/>
      <c r="AD14" s="187">
        <f t="shared" si="0"/>
        <v>350</v>
      </c>
      <c r="AE14" s="95">
        <f t="shared" si="12"/>
        <v>10.68592000000001</v>
      </c>
      <c r="AF14" s="95">
        <f t="shared" si="1"/>
        <v>22.789418750000038</v>
      </c>
      <c r="AG14" s="95">
        <f t="shared" si="1"/>
        <v>23.736116250000009</v>
      </c>
      <c r="AH14" s="94">
        <f t="shared" si="13"/>
        <v>57.211455000000058</v>
      </c>
      <c r="AI14" s="174">
        <f t="shared" si="2"/>
        <v>3.6762599355230519E-2</v>
      </c>
      <c r="AJ14" s="174">
        <f t="shared" si="3"/>
        <v>7.8402072170185466E-2</v>
      </c>
      <c r="AK14" s="174">
        <f t="shared" si="4"/>
        <v>8.1658980410477255E-2</v>
      </c>
      <c r="AL14" s="182">
        <f t="shared" si="14"/>
        <v>0.19682365193589324</v>
      </c>
      <c r="AM14" s="66"/>
    </row>
    <row r="15" spans="2:39" x14ac:dyDescent="0.3">
      <c r="B15" s="66"/>
      <c r="C15" s="77">
        <v>400</v>
      </c>
      <c r="D15" s="78">
        <v>0.74123719923403553</v>
      </c>
      <c r="E15" s="67">
        <f>IF($C15&lt;=Tariffs!$E$29,Tariffs!$G$29,IF(AND($C15&gt;Tariffs!$E$29,$C15&lt;=Tariffs!$E$30),Tariffs!$G$30,Tariffs!$G$31))</f>
        <v>13</v>
      </c>
      <c r="F15" s="67">
        <f>IF($C15&gt;Tariffs!$E$31,(Tariffs!$F$29*Tariffs!$H$29)+(Tariffs!$F$30*Tariffs!$H$30)+(Tariffs!$F$31*Tariffs!$H$31)+(($C15-Tariffs!$E$31)*Tariffs!$H$32),IF(AND($C15&gt;Tariffs!$E$29,$C15&lt;=Tariffs!$E$30),(Tariffs!$F$29*Tariffs!$H$29)+(($C15-Tariffs!$E$29)*Tariffs!$H$30),IF(AND($C15&gt;Tariffs!$E$30,$C15&lt;=Tariffs!$E$31),(Tariffs!$F$29*Tariffs!$H$29)+(Tariffs!$F$30*Tariffs!$H$30)+(($C15-Tariffs!$E$30)*Tariffs!$H$31),$C15*Tariffs!$H$29)))</f>
        <v>88.35</v>
      </c>
      <c r="G15" s="80">
        <f t="shared" si="5"/>
        <v>101.35</v>
      </c>
      <c r="H15" s="67">
        <f>$C15*Tariffs!$J$8</f>
        <v>180.43640499558248</v>
      </c>
      <c r="I15" s="67">
        <f t="shared" si="6"/>
        <v>281.78640499558247</v>
      </c>
      <c r="J15" s="67">
        <f>I15*Tariffs!$I$8</f>
        <v>49.31262087422693</v>
      </c>
      <c r="K15" s="81">
        <f t="shared" si="7"/>
        <v>331.0990258698094</v>
      </c>
      <c r="L15" s="81"/>
      <c r="M15" s="67">
        <f t="shared" si="8"/>
        <v>13</v>
      </c>
      <c r="N15" s="67">
        <f t="shared" si="9"/>
        <v>88.35</v>
      </c>
      <c r="O15" s="80">
        <f t="shared" si="10"/>
        <v>101.35</v>
      </c>
      <c r="P15" s="67">
        <f>$C15*Tariffs!$J$8</f>
        <v>180.43640499558248</v>
      </c>
      <c r="Q15" s="67"/>
      <c r="R15" s="67">
        <f>$C15*Tariffs!K$28</f>
        <v>10.393599999999999</v>
      </c>
      <c r="S15" s="67">
        <f>$C15*Tariffs!L$28</f>
        <v>22.166</v>
      </c>
      <c r="T15" s="67">
        <f>$C15*Tariffs!M$28</f>
        <v>23.0868</v>
      </c>
      <c r="U15" s="67"/>
      <c r="V15" s="67">
        <f t="shared" si="11"/>
        <v>292.18000499558246</v>
      </c>
      <c r="W15" s="67">
        <f t="shared" si="11"/>
        <v>303.95240499558247</v>
      </c>
      <c r="X15" s="67">
        <f t="shared" si="11"/>
        <v>304.87320499558246</v>
      </c>
      <c r="Y15" s="67"/>
      <c r="Z15" s="67">
        <f>V15*(1+Tariffs!$I$8)</f>
        <v>343.31150586980942</v>
      </c>
      <c r="AA15" s="67">
        <f>W15*(1+Tariffs!$I$8)</f>
        <v>357.1440758698094</v>
      </c>
      <c r="AB15" s="67">
        <f>X15*(1+Tariffs!$I$8)</f>
        <v>358.22601586980937</v>
      </c>
      <c r="AC15" s="82"/>
      <c r="AD15" s="83">
        <f t="shared" si="0"/>
        <v>400</v>
      </c>
      <c r="AE15" s="67">
        <f t="shared" si="12"/>
        <v>12.212480000000028</v>
      </c>
      <c r="AF15" s="67">
        <f t="shared" si="1"/>
        <v>26.045050000000003</v>
      </c>
      <c r="AG15" s="67">
        <f t="shared" si="1"/>
        <v>27.126989999999978</v>
      </c>
      <c r="AH15" s="80">
        <f t="shared" si="13"/>
        <v>65.384520000000009</v>
      </c>
      <c r="AI15" s="172">
        <f t="shared" si="2"/>
        <v>3.6884675114695398E-2</v>
      </c>
      <c r="AJ15" s="172">
        <f t="shared" si="3"/>
        <v>7.86624180834683E-2</v>
      </c>
      <c r="AK15" s="172">
        <f t="shared" si="4"/>
        <v>8.1930141379112698E-2</v>
      </c>
      <c r="AL15" s="180">
        <f t="shared" si="14"/>
        <v>0.19747723457727639</v>
      </c>
      <c r="AM15" s="66"/>
    </row>
    <row r="16" spans="2:39" x14ac:dyDescent="0.3">
      <c r="B16" s="66"/>
      <c r="C16" s="84">
        <v>450</v>
      </c>
      <c r="D16" s="85">
        <v>0.76949601753947772</v>
      </c>
      <c r="E16" s="88">
        <f>IF($C16&lt;=Tariffs!$E$29,Tariffs!$G$29,IF(AND($C16&gt;Tariffs!$E$29,$C16&lt;=Tariffs!$E$30),Tariffs!$G$30,Tariffs!$G$31))</f>
        <v>13</v>
      </c>
      <c r="F16" s="88">
        <f>IF($C16&gt;Tariffs!$E$31,(Tariffs!$F$29*Tariffs!$H$29)+(Tariffs!$F$30*Tariffs!$H$30)+(Tariffs!$F$31*Tariffs!$H$31)+(($C16-Tariffs!$E$31)*Tariffs!$H$32),IF(AND($C16&gt;Tariffs!$E$29,$C16&lt;=Tariffs!$E$30),(Tariffs!$F$29*Tariffs!$H$29)+(($C16-Tariffs!$E$29)*Tariffs!$H$30),IF(AND($C16&gt;Tariffs!$E$30,$C16&lt;=Tariffs!$E$31),(Tariffs!$F$29*Tariffs!$H$29)+(Tariffs!$F$30*Tariffs!$H$30)+(($C16-Tariffs!$E$30)*Tariffs!$H$31),$C16*Tariffs!$H$29)))</f>
        <v>100.19999999999999</v>
      </c>
      <c r="G16" s="87">
        <f t="shared" si="5"/>
        <v>113.19999999999999</v>
      </c>
      <c r="H16" s="88">
        <f>$C16*Tariffs!$J$8</f>
        <v>202.99095562003026</v>
      </c>
      <c r="I16" s="88">
        <f t="shared" si="6"/>
        <v>316.19095562003025</v>
      </c>
      <c r="J16" s="88">
        <f>I16*Tariffs!$I$8</f>
        <v>55.333417233505294</v>
      </c>
      <c r="K16" s="89">
        <f t="shared" si="7"/>
        <v>371.52437285353557</v>
      </c>
      <c r="L16" s="81"/>
      <c r="M16" s="88">
        <f t="shared" si="8"/>
        <v>13</v>
      </c>
      <c r="N16" s="88">
        <f t="shared" si="9"/>
        <v>100.19999999999999</v>
      </c>
      <c r="O16" s="87">
        <f t="shared" si="10"/>
        <v>113.19999999999999</v>
      </c>
      <c r="P16" s="88">
        <f>$C16*Tariffs!$J$8</f>
        <v>202.99095562003026</v>
      </c>
      <c r="Q16" s="67"/>
      <c r="R16" s="88">
        <f>$C16*Tariffs!K$28</f>
        <v>11.6928</v>
      </c>
      <c r="S16" s="88">
        <f>$C16*Tariffs!L$28</f>
        <v>24.93675</v>
      </c>
      <c r="T16" s="88">
        <f>$C16*Tariffs!M$28</f>
        <v>25.972649999999998</v>
      </c>
      <c r="U16" s="67"/>
      <c r="V16" s="88">
        <f t="shared" si="11"/>
        <v>327.88375562003023</v>
      </c>
      <c r="W16" s="88">
        <f t="shared" si="11"/>
        <v>341.12770562003027</v>
      </c>
      <c r="X16" s="88">
        <f t="shared" si="11"/>
        <v>342.16360562003024</v>
      </c>
      <c r="Y16" s="67"/>
      <c r="Z16" s="88">
        <f>V16*(1+Tariffs!$I$8)</f>
        <v>385.26341285353556</v>
      </c>
      <c r="AA16" s="88">
        <f>W16*(1+Tariffs!$I$8)</f>
        <v>400.82505410353559</v>
      </c>
      <c r="AB16" s="88">
        <f>X16*(1+Tariffs!$I$8)</f>
        <v>402.04223660353557</v>
      </c>
      <c r="AC16" s="82"/>
      <c r="AD16" s="90">
        <f t="shared" si="0"/>
        <v>450</v>
      </c>
      <c r="AE16" s="88">
        <f t="shared" si="12"/>
        <v>13.739039999999989</v>
      </c>
      <c r="AF16" s="88">
        <f t="shared" si="1"/>
        <v>29.300681250000025</v>
      </c>
      <c r="AG16" s="88">
        <f t="shared" si="1"/>
        <v>30.517863750000004</v>
      </c>
      <c r="AH16" s="87">
        <f t="shared" si="13"/>
        <v>73.557585000000017</v>
      </c>
      <c r="AI16" s="173">
        <f t="shared" si="2"/>
        <v>3.6980184891978185E-2</v>
      </c>
      <c r="AJ16" s="173">
        <f t="shared" si="3"/>
        <v>7.8866107827469722E-2</v>
      </c>
      <c r="AK16" s="173">
        <f t="shared" si="4"/>
        <v>8.2142292618931245E-2</v>
      </c>
      <c r="AL16" s="181">
        <f t="shared" si="14"/>
        <v>0.19798858533837915</v>
      </c>
      <c r="AM16" s="66"/>
    </row>
    <row r="17" spans="2:39" x14ac:dyDescent="0.3">
      <c r="B17" s="66"/>
      <c r="C17" s="77">
        <v>500</v>
      </c>
      <c r="D17" s="78">
        <v>0.79401520828129768</v>
      </c>
      <c r="E17" s="67">
        <f>IF($C17&lt;=Tariffs!$E$29,Tariffs!$G$29,IF(AND($C17&gt;Tariffs!$E$29,$C17&lt;=Tariffs!$E$30),Tariffs!$G$30,Tariffs!$G$31))</f>
        <v>13</v>
      </c>
      <c r="F17" s="67">
        <f>IF($C17&gt;Tariffs!$E$31,(Tariffs!$F$29*Tariffs!$H$29)+(Tariffs!$F$30*Tariffs!$H$30)+(Tariffs!$F$31*Tariffs!$H$31)+(($C17-Tariffs!$E$31)*Tariffs!$H$32),IF(AND($C17&gt;Tariffs!$E$29,$C17&lt;=Tariffs!$E$30),(Tariffs!$F$29*Tariffs!$H$29)+(($C17-Tariffs!$E$29)*Tariffs!$H$30),IF(AND($C17&gt;Tariffs!$E$30,$C17&lt;=Tariffs!$E$31),(Tariffs!$F$29*Tariffs!$H$29)+(Tariffs!$F$30*Tariffs!$H$30)+(($C17-Tariffs!$E$30)*Tariffs!$H$31),$C17*Tariffs!$H$29)))</f>
        <v>112.05000000000001</v>
      </c>
      <c r="G17" s="80">
        <f t="shared" si="5"/>
        <v>125.05000000000001</v>
      </c>
      <c r="H17" s="67">
        <f>$C17*Tariffs!$J$8</f>
        <v>225.54550624447808</v>
      </c>
      <c r="I17" s="67">
        <f t="shared" si="6"/>
        <v>350.59550624447809</v>
      </c>
      <c r="J17" s="67">
        <f>I17*Tariffs!$I$8</f>
        <v>61.354213592783658</v>
      </c>
      <c r="K17" s="81">
        <f t="shared" si="7"/>
        <v>411.94971983726174</v>
      </c>
      <c r="L17" s="81"/>
      <c r="M17" s="67">
        <f t="shared" si="8"/>
        <v>13</v>
      </c>
      <c r="N17" s="67">
        <f t="shared" si="9"/>
        <v>112.05000000000001</v>
      </c>
      <c r="O17" s="80">
        <f t="shared" si="10"/>
        <v>125.05000000000001</v>
      </c>
      <c r="P17" s="67">
        <f>$C17*Tariffs!$J$8</f>
        <v>225.54550624447808</v>
      </c>
      <c r="Q17" s="67"/>
      <c r="R17" s="67">
        <f>$C17*Tariffs!K$28</f>
        <v>12.992000000000001</v>
      </c>
      <c r="S17" s="67">
        <f>$C17*Tariffs!L$28</f>
        <v>27.7075</v>
      </c>
      <c r="T17" s="67">
        <f>$C17*Tariffs!M$28</f>
        <v>28.858499999999999</v>
      </c>
      <c r="U17" s="67"/>
      <c r="V17" s="67">
        <f t="shared" si="11"/>
        <v>363.58750624447811</v>
      </c>
      <c r="W17" s="67">
        <f t="shared" si="11"/>
        <v>378.30300624447807</v>
      </c>
      <c r="X17" s="67">
        <f t="shared" si="11"/>
        <v>379.45400624447808</v>
      </c>
      <c r="Y17" s="67"/>
      <c r="Z17" s="67">
        <f>V17*(1+Tariffs!$I$8)</f>
        <v>427.2153198372618</v>
      </c>
      <c r="AA17" s="67">
        <f>W17*(1+Tariffs!$I$8)</f>
        <v>444.50603233726173</v>
      </c>
      <c r="AB17" s="67">
        <f>X17*(1+Tariffs!$I$8)</f>
        <v>445.85845733726177</v>
      </c>
      <c r="AC17" s="82"/>
      <c r="AD17" s="83">
        <f t="shared" si="0"/>
        <v>500</v>
      </c>
      <c r="AE17" s="67">
        <f t="shared" si="12"/>
        <v>15.265600000000063</v>
      </c>
      <c r="AF17" s="67">
        <f t="shared" si="1"/>
        <v>32.55631249999999</v>
      </c>
      <c r="AG17" s="67">
        <f t="shared" si="1"/>
        <v>33.908737500000029</v>
      </c>
      <c r="AH17" s="80">
        <f t="shared" si="13"/>
        <v>81.730650000000082</v>
      </c>
      <c r="AI17" s="172">
        <f t="shared" si="2"/>
        <v>3.7056949586057764E-2</v>
      </c>
      <c r="AJ17" s="172">
        <f t="shared" si="3"/>
        <v>7.9029820709336063E-2</v>
      </c>
      <c r="AK17" s="172">
        <f t="shared" si="4"/>
        <v>8.2312806313827425E-2</v>
      </c>
      <c r="AL17" s="180">
        <f t="shared" si="14"/>
        <v>0.19839957660922125</v>
      </c>
      <c r="AM17" s="66"/>
    </row>
    <row r="18" spans="2:39" x14ac:dyDescent="0.3">
      <c r="B18" s="66"/>
      <c r="C18" s="84">
        <v>600</v>
      </c>
      <c r="D18" s="85">
        <v>0.83393000860322486</v>
      </c>
      <c r="E18" s="88">
        <f>IF($C18&lt;=Tariffs!$E$29,Tariffs!$G$29,IF(AND($C18&gt;Tariffs!$E$29,$C18&lt;=Tariffs!$E$30),Tariffs!$G$30,Tariffs!$G$31))</f>
        <v>19</v>
      </c>
      <c r="F18" s="88">
        <f>IF($C18&gt;Tariffs!$E$31,(Tariffs!$F$29*Tariffs!$H$29)+(Tariffs!$F$30*Tariffs!$H$30)+(Tariffs!$F$31*Tariffs!$H$31)+(($C18-Tariffs!$E$31)*Tariffs!$H$32),IF(AND($C18&gt;Tariffs!$E$29,$C18&lt;=Tariffs!$E$30),(Tariffs!$F$29*Tariffs!$H$29)+(($C18-Tariffs!$E$29)*Tariffs!$H$30),IF(AND($C18&gt;Tariffs!$E$30,$C18&lt;=Tariffs!$E$31),(Tariffs!$F$29*Tariffs!$H$29)+(Tariffs!$F$30*Tariffs!$H$30)+(($C18-Tariffs!$E$30)*Tariffs!$H$31),$C18*Tariffs!$H$29)))</f>
        <v>140.45000000000002</v>
      </c>
      <c r="G18" s="87">
        <f t="shared" si="5"/>
        <v>159.45000000000002</v>
      </c>
      <c r="H18" s="88">
        <f>$C18*Tariffs!$J$8</f>
        <v>270.6546074933737</v>
      </c>
      <c r="I18" s="88">
        <f t="shared" si="6"/>
        <v>430.10460749337369</v>
      </c>
      <c r="J18" s="88">
        <f>I18*Tariffs!$I$8</f>
        <v>75.268306311340396</v>
      </c>
      <c r="K18" s="89">
        <f t="shared" si="7"/>
        <v>505.37291380471407</v>
      </c>
      <c r="L18" s="81"/>
      <c r="M18" s="88">
        <f t="shared" si="8"/>
        <v>19</v>
      </c>
      <c r="N18" s="88">
        <f t="shared" si="9"/>
        <v>140.45000000000002</v>
      </c>
      <c r="O18" s="87">
        <f t="shared" si="10"/>
        <v>159.45000000000002</v>
      </c>
      <c r="P18" s="88">
        <f>$C18*Tariffs!$J$8</f>
        <v>270.6546074933737</v>
      </c>
      <c r="Q18" s="67"/>
      <c r="R18" s="88">
        <f>$C18*Tariffs!K$28</f>
        <v>15.590400000000001</v>
      </c>
      <c r="S18" s="88">
        <f>$C18*Tariffs!L$28</f>
        <v>33.249000000000002</v>
      </c>
      <c r="T18" s="88">
        <f>$C18*Tariffs!M$28</f>
        <v>34.630199999999995</v>
      </c>
      <c r="U18" s="67"/>
      <c r="V18" s="88">
        <f t="shared" si="11"/>
        <v>445.69500749337368</v>
      </c>
      <c r="W18" s="88">
        <f t="shared" si="11"/>
        <v>463.35360749337372</v>
      </c>
      <c r="X18" s="88">
        <f t="shared" si="11"/>
        <v>464.73480749337369</v>
      </c>
      <c r="Y18" s="67"/>
      <c r="Z18" s="88">
        <f>V18*(1+Tariffs!$I$8)</f>
        <v>523.69163380471412</v>
      </c>
      <c r="AA18" s="88">
        <f>W18*(1+Tariffs!$I$8)</f>
        <v>544.44048880471416</v>
      </c>
      <c r="AB18" s="88">
        <f>X18*(1+Tariffs!$I$8)</f>
        <v>546.0633988047141</v>
      </c>
      <c r="AC18" s="82"/>
      <c r="AD18" s="90">
        <f t="shared" si="0"/>
        <v>600</v>
      </c>
      <c r="AE18" s="88">
        <f t="shared" si="12"/>
        <v>18.318720000000042</v>
      </c>
      <c r="AF18" s="88">
        <f t="shared" si="1"/>
        <v>39.06757500000009</v>
      </c>
      <c r="AG18" s="88">
        <f t="shared" si="1"/>
        <v>40.690485000000024</v>
      </c>
      <c r="AH18" s="87">
        <f t="shared" si="13"/>
        <v>98.076780000000156</v>
      </c>
      <c r="AI18" s="173">
        <f t="shared" si="2"/>
        <v>3.624792603562188E-2</v>
      </c>
      <c r="AJ18" s="173">
        <f t="shared" si="3"/>
        <v>7.7304449709975076E-2</v>
      </c>
      <c r="AK18" s="173">
        <f t="shared" si="4"/>
        <v>8.0515761507004013E-2</v>
      </c>
      <c r="AL18" s="181">
        <f t="shared" si="14"/>
        <v>0.19406813725260097</v>
      </c>
      <c r="AM18" s="66"/>
    </row>
    <row r="19" spans="2:39" x14ac:dyDescent="0.3">
      <c r="B19" s="66"/>
      <c r="C19" s="77">
        <v>700</v>
      </c>
      <c r="D19" s="78">
        <v>0.86338217744845003</v>
      </c>
      <c r="E19" s="67">
        <f>IF($C19&lt;=Tariffs!$E$29,Tariffs!$G$29,IF(AND($C19&gt;Tariffs!$E$29,$C19&lt;=Tariffs!$E$30),Tariffs!$G$30,Tariffs!$G$31))</f>
        <v>19</v>
      </c>
      <c r="F19" s="67">
        <f>IF($C19&gt;Tariffs!$E$31,(Tariffs!$F$29*Tariffs!$H$29)+(Tariffs!$F$30*Tariffs!$H$30)+(Tariffs!$F$31*Tariffs!$H$31)+(($C19-Tariffs!$E$31)*Tariffs!$H$32),IF(AND($C19&gt;Tariffs!$E$29,$C19&lt;=Tariffs!$E$30),(Tariffs!$F$29*Tariffs!$H$29)+(($C19-Tariffs!$E$29)*Tariffs!$H$30),IF(AND($C19&gt;Tariffs!$E$30,$C19&lt;=Tariffs!$E$31),(Tariffs!$F$29*Tariffs!$H$29)+(Tariffs!$F$30*Tariffs!$H$30)+(($C19-Tariffs!$E$30)*Tariffs!$H$31),$C19*Tariffs!$H$29)))</f>
        <v>168.85000000000002</v>
      </c>
      <c r="G19" s="80">
        <f t="shared" si="5"/>
        <v>187.85000000000002</v>
      </c>
      <c r="H19" s="67">
        <f>$C19*Tariffs!$J$8</f>
        <v>315.76370874226933</v>
      </c>
      <c r="I19" s="67">
        <f t="shared" si="6"/>
        <v>503.61370874226935</v>
      </c>
      <c r="J19" s="67">
        <f>I19*Tariffs!$I$8</f>
        <v>88.13239902989713</v>
      </c>
      <c r="K19" s="81">
        <f t="shared" si="7"/>
        <v>591.74610777216651</v>
      </c>
      <c r="L19" s="81"/>
      <c r="M19" s="67">
        <f t="shared" si="8"/>
        <v>19</v>
      </c>
      <c r="N19" s="67">
        <f t="shared" si="9"/>
        <v>168.85000000000002</v>
      </c>
      <c r="O19" s="80">
        <f t="shared" si="10"/>
        <v>187.85000000000002</v>
      </c>
      <c r="P19" s="67">
        <f>$C19*Tariffs!$J$8</f>
        <v>315.76370874226933</v>
      </c>
      <c r="Q19" s="67"/>
      <c r="R19" s="67">
        <f>$C19*Tariffs!K$28</f>
        <v>18.188800000000001</v>
      </c>
      <c r="S19" s="67">
        <f>$C19*Tariffs!L$28</f>
        <v>38.790500000000002</v>
      </c>
      <c r="T19" s="67">
        <f>$C19*Tariffs!M$28</f>
        <v>40.401899999999998</v>
      </c>
      <c r="U19" s="67"/>
      <c r="V19" s="67">
        <f t="shared" si="11"/>
        <v>521.80250874226931</v>
      </c>
      <c r="W19" s="67">
        <f t="shared" si="11"/>
        <v>542.40420874226936</v>
      </c>
      <c r="X19" s="67">
        <f t="shared" si="11"/>
        <v>544.01560874226936</v>
      </c>
      <c r="Y19" s="67"/>
      <c r="Z19" s="67">
        <f>V19*(1+Tariffs!$I$8)</f>
        <v>613.11794777216642</v>
      </c>
      <c r="AA19" s="67">
        <f>W19*(1+Tariffs!$I$8)</f>
        <v>637.32494527216647</v>
      </c>
      <c r="AB19" s="67">
        <f>X19*(1+Tariffs!$I$8)</f>
        <v>639.21834027216653</v>
      </c>
      <c r="AC19" s="82"/>
      <c r="AD19" s="83">
        <f t="shared" si="0"/>
        <v>700</v>
      </c>
      <c r="AE19" s="67">
        <f t="shared" si="12"/>
        <v>21.371839999999906</v>
      </c>
      <c r="AF19" s="67">
        <f t="shared" si="1"/>
        <v>45.578837499999963</v>
      </c>
      <c r="AG19" s="67">
        <f t="shared" si="1"/>
        <v>47.472232500000018</v>
      </c>
      <c r="AH19" s="80">
        <f t="shared" si="13"/>
        <v>114.42290999999989</v>
      </c>
      <c r="AI19" s="172">
        <f t="shared" si="2"/>
        <v>3.6116570467124243E-2</v>
      </c>
      <c r="AJ19" s="172">
        <f t="shared" si="3"/>
        <v>7.7024313132531219E-2</v>
      </c>
      <c r="AK19" s="172">
        <f t="shared" si="4"/>
        <v>8.0223987748268666E-2</v>
      </c>
      <c r="AL19" s="180">
        <f t="shared" si="14"/>
        <v>0.19336487134792413</v>
      </c>
      <c r="AM19" s="66"/>
    </row>
    <row r="20" spans="2:39" x14ac:dyDescent="0.3">
      <c r="B20" s="66"/>
      <c r="C20" s="84">
        <v>800</v>
      </c>
      <c r="D20" s="85">
        <v>0.88619459939499901</v>
      </c>
      <c r="E20" s="88">
        <f>IF($C20&lt;=Tariffs!$E$29,Tariffs!$G$29,IF(AND($C20&gt;Tariffs!$E$29,$C20&lt;=Tariffs!$E$30),Tariffs!$G$30,Tariffs!$G$31))</f>
        <v>19</v>
      </c>
      <c r="F20" s="88">
        <f>IF($C20&gt;Tariffs!$E$31,(Tariffs!$F$29*Tariffs!$H$29)+(Tariffs!$F$30*Tariffs!$H$30)+(Tariffs!$F$31*Tariffs!$H$31)+(($C20-Tariffs!$E$31)*Tariffs!$H$32),IF(AND($C20&gt;Tariffs!$E$29,$C20&lt;=Tariffs!$E$30),(Tariffs!$F$29*Tariffs!$H$29)+(($C20-Tariffs!$E$29)*Tariffs!$H$30),IF(AND($C20&gt;Tariffs!$E$30,$C20&lt;=Tariffs!$E$31),(Tariffs!$F$29*Tariffs!$H$29)+(Tariffs!$F$30*Tariffs!$H$30)+(($C20-Tariffs!$E$30)*Tariffs!$H$31),$C20*Tariffs!$H$29)))</f>
        <v>197.25</v>
      </c>
      <c r="G20" s="87">
        <f t="shared" si="5"/>
        <v>216.25</v>
      </c>
      <c r="H20" s="88">
        <f>$C20*Tariffs!$J$8</f>
        <v>360.87280999116496</v>
      </c>
      <c r="I20" s="88">
        <f t="shared" si="6"/>
        <v>577.12280999116501</v>
      </c>
      <c r="J20" s="88">
        <f>I20*Tariffs!$I$8</f>
        <v>100.99649174845388</v>
      </c>
      <c r="K20" s="89">
        <f t="shared" si="7"/>
        <v>678.11930173961889</v>
      </c>
      <c r="L20" s="81"/>
      <c r="M20" s="88">
        <f t="shared" si="8"/>
        <v>19</v>
      </c>
      <c r="N20" s="88">
        <f t="shared" si="9"/>
        <v>197.25</v>
      </c>
      <c r="O20" s="87">
        <f t="shared" si="10"/>
        <v>216.25</v>
      </c>
      <c r="P20" s="88">
        <f>$C20*Tariffs!$J$8</f>
        <v>360.87280999116496</v>
      </c>
      <c r="Q20" s="67"/>
      <c r="R20" s="88">
        <f>$C20*Tariffs!K$28</f>
        <v>20.787199999999999</v>
      </c>
      <c r="S20" s="88">
        <f>$C20*Tariffs!L$28</f>
        <v>44.332000000000001</v>
      </c>
      <c r="T20" s="88">
        <f>$C20*Tariffs!M$28</f>
        <v>46.1736</v>
      </c>
      <c r="U20" s="67"/>
      <c r="V20" s="88">
        <f t="shared" si="11"/>
        <v>597.910009991165</v>
      </c>
      <c r="W20" s="88">
        <f t="shared" si="11"/>
        <v>621.45480999116501</v>
      </c>
      <c r="X20" s="88">
        <f t="shared" si="11"/>
        <v>623.29640999116498</v>
      </c>
      <c r="Y20" s="67"/>
      <c r="Z20" s="88">
        <f>V20*(1+Tariffs!$I$8)</f>
        <v>702.54426173961895</v>
      </c>
      <c r="AA20" s="88">
        <f>W20*(1+Tariffs!$I$8)</f>
        <v>730.2094017396189</v>
      </c>
      <c r="AB20" s="88">
        <f>X20*(1+Tariffs!$I$8)</f>
        <v>732.37328173961885</v>
      </c>
      <c r="AC20" s="82"/>
      <c r="AD20" s="90">
        <f t="shared" si="0"/>
        <v>800</v>
      </c>
      <c r="AE20" s="88">
        <f t="shared" si="12"/>
        <v>24.424960000000056</v>
      </c>
      <c r="AF20" s="88">
        <f t="shared" si="1"/>
        <v>52.090100000000007</v>
      </c>
      <c r="AG20" s="88">
        <f t="shared" si="1"/>
        <v>54.253979999999956</v>
      </c>
      <c r="AH20" s="87">
        <f t="shared" si="13"/>
        <v>130.76904000000002</v>
      </c>
      <c r="AI20" s="173">
        <f t="shared" si="2"/>
        <v>3.6018676857215715E-2</v>
      </c>
      <c r="AJ20" s="173">
        <f t="shared" si="3"/>
        <v>7.6815539487476991E-2</v>
      </c>
      <c r="AK20" s="173">
        <f t="shared" si="4"/>
        <v>8.0006541416560495E-2</v>
      </c>
      <c r="AL20" s="181">
        <f t="shared" si="14"/>
        <v>0.1928407577612532</v>
      </c>
      <c r="AM20" s="66"/>
    </row>
    <row r="21" spans="2:39" x14ac:dyDescent="0.3">
      <c r="B21" s="66"/>
      <c r="C21" s="77">
        <v>900</v>
      </c>
      <c r="D21" s="78">
        <v>0.90366469625065915</v>
      </c>
      <c r="E21" s="67">
        <f>IF($C21&lt;=Tariffs!$E$29,Tariffs!$G$29,IF(AND($C21&gt;Tariffs!$E$29,$C21&lt;=Tariffs!$E$30),Tariffs!$G$30,Tariffs!$G$31))</f>
        <v>19</v>
      </c>
      <c r="F21" s="67">
        <f>IF($C21&gt;Tariffs!$E$31,(Tariffs!$F$29*Tariffs!$H$29)+(Tariffs!$F$30*Tariffs!$H$30)+(Tariffs!$F$31*Tariffs!$H$31)+(($C21-Tariffs!$E$31)*Tariffs!$H$32),IF(AND($C21&gt;Tariffs!$E$29,$C21&lt;=Tariffs!$E$30),(Tariffs!$F$29*Tariffs!$H$29)+(($C21-Tariffs!$E$29)*Tariffs!$H$30),IF(AND($C21&gt;Tariffs!$E$30,$C21&lt;=Tariffs!$E$31),(Tariffs!$F$29*Tariffs!$H$29)+(Tariffs!$F$30*Tariffs!$H$30)+(($C21-Tariffs!$E$30)*Tariffs!$H$31),$C21*Tariffs!$H$29)))</f>
        <v>225.65</v>
      </c>
      <c r="G21" s="80">
        <f t="shared" si="5"/>
        <v>244.65</v>
      </c>
      <c r="H21" s="67">
        <f>$C21*Tariffs!$J$8</f>
        <v>405.98191124006053</v>
      </c>
      <c r="I21" s="67">
        <f t="shared" si="6"/>
        <v>650.6319112400605</v>
      </c>
      <c r="J21" s="67">
        <f>I21*Tariffs!$I$8</f>
        <v>113.86058446701058</v>
      </c>
      <c r="K21" s="81">
        <f t="shared" si="7"/>
        <v>764.49249570707104</v>
      </c>
      <c r="L21" s="81"/>
      <c r="M21" s="67">
        <f t="shared" si="8"/>
        <v>19</v>
      </c>
      <c r="N21" s="67">
        <f t="shared" si="9"/>
        <v>225.65</v>
      </c>
      <c r="O21" s="80">
        <f t="shared" si="10"/>
        <v>244.65</v>
      </c>
      <c r="P21" s="67">
        <f>$C21*Tariffs!$J$8</f>
        <v>405.98191124006053</v>
      </c>
      <c r="Q21" s="67"/>
      <c r="R21" s="67">
        <f>$C21*Tariffs!K$28</f>
        <v>23.3856</v>
      </c>
      <c r="S21" s="67">
        <f>$C21*Tariffs!L$28</f>
        <v>49.8735</v>
      </c>
      <c r="T21" s="67">
        <f>$C21*Tariffs!M$28</f>
        <v>51.945299999999996</v>
      </c>
      <c r="U21" s="67"/>
      <c r="V21" s="67">
        <f t="shared" si="11"/>
        <v>674.01751124006046</v>
      </c>
      <c r="W21" s="67">
        <f t="shared" si="11"/>
        <v>700.50541124006054</v>
      </c>
      <c r="X21" s="67">
        <f t="shared" si="11"/>
        <v>702.57721124006048</v>
      </c>
      <c r="Y21" s="67"/>
      <c r="Z21" s="67">
        <f>V21*(1+Tariffs!$I$8)</f>
        <v>791.97057570707102</v>
      </c>
      <c r="AA21" s="67">
        <f>W21*(1+Tariffs!$I$8)</f>
        <v>823.09385820707121</v>
      </c>
      <c r="AB21" s="67">
        <f>X21*(1+Tariffs!$I$8)</f>
        <v>825.52822320707105</v>
      </c>
      <c r="AC21" s="82"/>
      <c r="AD21" s="83">
        <f t="shared" si="0"/>
        <v>900</v>
      </c>
      <c r="AE21" s="67">
        <f t="shared" si="12"/>
        <v>27.478079999999977</v>
      </c>
      <c r="AF21" s="67">
        <f t="shared" si="1"/>
        <v>58.601362500000164</v>
      </c>
      <c r="AG21" s="67">
        <f t="shared" si="1"/>
        <v>61.035727500000007</v>
      </c>
      <c r="AH21" s="80">
        <f t="shared" si="13"/>
        <v>147.11517000000015</v>
      </c>
      <c r="AI21" s="172">
        <f t="shared" si="2"/>
        <v>3.5942903500427059E-2</v>
      </c>
      <c r="AJ21" s="172">
        <f t="shared" si="3"/>
        <v>7.6653940789569663E-2</v>
      </c>
      <c r="AK21" s="172">
        <f t="shared" si="4"/>
        <v>7.983822973114818E-2</v>
      </c>
      <c r="AL21" s="180">
        <f t="shared" si="14"/>
        <v>0.1924350740211449</v>
      </c>
      <c r="AM21" s="66"/>
    </row>
    <row r="22" spans="2:39" x14ac:dyDescent="0.3">
      <c r="B22" s="66"/>
      <c r="C22" s="84">
        <v>1000</v>
      </c>
      <c r="D22" s="85">
        <v>0.91704132323148224</v>
      </c>
      <c r="E22" s="88">
        <f>IF($C22&lt;=Tariffs!$E$29,Tariffs!$G$29,IF(AND($C22&gt;Tariffs!$E$29,$C22&lt;=Tariffs!$E$30),Tariffs!$G$30,Tariffs!$G$31))</f>
        <v>19</v>
      </c>
      <c r="F22" s="88">
        <f>IF($C22&gt;Tariffs!$E$31,(Tariffs!$F$29*Tariffs!$H$29)+(Tariffs!$F$30*Tariffs!$H$30)+(Tariffs!$F$31*Tariffs!$H$31)+(($C22-Tariffs!$E$31)*Tariffs!$H$32),IF(AND($C22&gt;Tariffs!$E$29,$C22&lt;=Tariffs!$E$30),(Tariffs!$F$29*Tariffs!$H$29)+(($C22-Tariffs!$E$29)*Tariffs!$H$30),IF(AND($C22&gt;Tariffs!$E$30,$C22&lt;=Tariffs!$E$31),(Tariffs!$F$29*Tariffs!$H$29)+(Tariffs!$F$30*Tariffs!$H$30)+(($C22-Tariffs!$E$30)*Tariffs!$H$31),$C22*Tariffs!$H$29)))</f>
        <v>254.05</v>
      </c>
      <c r="G22" s="87">
        <f t="shared" si="5"/>
        <v>273.05</v>
      </c>
      <c r="H22" s="88">
        <f>$C22*Tariffs!$J$8</f>
        <v>451.09101248895615</v>
      </c>
      <c r="I22" s="88">
        <f t="shared" si="6"/>
        <v>724.14101248895622</v>
      </c>
      <c r="J22" s="88">
        <f>I22*Tariffs!$I$8</f>
        <v>126.72467718556733</v>
      </c>
      <c r="K22" s="89">
        <f t="shared" si="7"/>
        <v>850.86568967452354</v>
      </c>
      <c r="L22" s="81"/>
      <c r="M22" s="88">
        <f t="shared" si="8"/>
        <v>19</v>
      </c>
      <c r="N22" s="88">
        <f t="shared" si="9"/>
        <v>254.05</v>
      </c>
      <c r="O22" s="87">
        <f t="shared" si="10"/>
        <v>273.05</v>
      </c>
      <c r="P22" s="88">
        <f>$C22*Tariffs!$J$8</f>
        <v>451.09101248895615</v>
      </c>
      <c r="Q22" s="67"/>
      <c r="R22" s="88">
        <f>$C22*Tariffs!K$28</f>
        <v>25.984000000000002</v>
      </c>
      <c r="S22" s="88">
        <f>$C22*Tariffs!L$28</f>
        <v>55.414999999999999</v>
      </c>
      <c r="T22" s="88">
        <f>$C22*Tariffs!M$28</f>
        <v>57.716999999999999</v>
      </c>
      <c r="U22" s="67"/>
      <c r="V22" s="88">
        <f t="shared" si="11"/>
        <v>750.12501248895626</v>
      </c>
      <c r="W22" s="88">
        <f t="shared" si="11"/>
        <v>779.55601248895618</v>
      </c>
      <c r="X22" s="88">
        <f t="shared" si="11"/>
        <v>781.85801248895621</v>
      </c>
      <c r="Y22" s="67"/>
      <c r="Z22" s="88">
        <f>V22*(1+Tariffs!$I$8)</f>
        <v>881.39688967452366</v>
      </c>
      <c r="AA22" s="88">
        <f>W22*(1+Tariffs!$I$8)</f>
        <v>915.97831467452352</v>
      </c>
      <c r="AB22" s="88">
        <f>X22*(1+Tariffs!$I$8)</f>
        <v>918.6831646745236</v>
      </c>
      <c r="AC22" s="82"/>
      <c r="AD22" s="90">
        <f t="shared" si="0"/>
        <v>1000</v>
      </c>
      <c r="AE22" s="88">
        <f t="shared" si="12"/>
        <v>30.531200000000126</v>
      </c>
      <c r="AF22" s="88">
        <f t="shared" si="1"/>
        <v>65.11262499999998</v>
      </c>
      <c r="AG22" s="88">
        <f t="shared" si="1"/>
        <v>67.817475000000059</v>
      </c>
      <c r="AH22" s="87">
        <f t="shared" si="13"/>
        <v>163.46130000000016</v>
      </c>
      <c r="AI22" s="173">
        <f t="shared" si="2"/>
        <v>3.5882513974301977E-2</v>
      </c>
      <c r="AJ22" s="173">
        <f t="shared" si="3"/>
        <v>7.652515054979725E-2</v>
      </c>
      <c r="AK22" s="173">
        <f t="shared" si="4"/>
        <v>7.9704089403278111E-2</v>
      </c>
      <c r="AL22" s="181">
        <f t="shared" si="14"/>
        <v>0.19211175392737734</v>
      </c>
      <c r="AM22" s="66"/>
    </row>
    <row r="23" spans="2:39" x14ac:dyDescent="0.3">
      <c r="B23" s="66"/>
      <c r="C23" s="77">
        <v>1100</v>
      </c>
      <c r="D23" s="78">
        <v>0.92812838231621009</v>
      </c>
      <c r="E23" s="67">
        <f>IF($C23&lt;=Tariffs!$E$29,Tariffs!$G$29,IF(AND($C23&gt;Tariffs!$E$29,$C23&lt;=Tariffs!$E$30),Tariffs!$G$30,Tariffs!$G$31))</f>
        <v>19</v>
      </c>
      <c r="F23" s="67">
        <f>IF($C23&gt;Tariffs!$E$31,(Tariffs!$F$29*Tariffs!$H$29)+(Tariffs!$F$30*Tariffs!$H$30)+(Tariffs!$F$31*Tariffs!$H$31)+(($C23-Tariffs!$E$31)*Tariffs!$H$32),IF(AND($C23&gt;Tariffs!$E$29,$C23&lt;=Tariffs!$E$30),(Tariffs!$F$29*Tariffs!$H$29)+(($C23-Tariffs!$E$29)*Tariffs!$H$30),IF(AND($C23&gt;Tariffs!$E$30,$C23&lt;=Tariffs!$E$31),(Tariffs!$F$29*Tariffs!$H$29)+(Tariffs!$F$30*Tariffs!$H$30)+(($C23-Tariffs!$E$30)*Tariffs!$H$31),$C23*Tariffs!$H$29)))</f>
        <v>282.45</v>
      </c>
      <c r="G23" s="80">
        <f t="shared" si="5"/>
        <v>301.45</v>
      </c>
      <c r="H23" s="67">
        <f>$C23*Tariffs!$J$8</f>
        <v>496.20011373785178</v>
      </c>
      <c r="I23" s="67">
        <f t="shared" si="6"/>
        <v>797.65011373785183</v>
      </c>
      <c r="J23" s="67">
        <f>I23*Tariffs!$I$8</f>
        <v>139.58876990412406</v>
      </c>
      <c r="K23" s="81">
        <f t="shared" si="7"/>
        <v>937.23888364197592</v>
      </c>
      <c r="L23" s="81"/>
      <c r="M23" s="67">
        <f t="shared" si="8"/>
        <v>19</v>
      </c>
      <c r="N23" s="67">
        <f t="shared" si="9"/>
        <v>282.45</v>
      </c>
      <c r="O23" s="80">
        <f t="shared" si="10"/>
        <v>301.45</v>
      </c>
      <c r="P23" s="67">
        <f>$C23*Tariffs!$J$8</f>
        <v>496.20011373785178</v>
      </c>
      <c r="Q23" s="67"/>
      <c r="R23" s="67">
        <f>$C23*Tariffs!K$28</f>
        <v>28.5824</v>
      </c>
      <c r="S23" s="67">
        <f>$C23*Tariffs!L$28</f>
        <v>60.956499999999998</v>
      </c>
      <c r="T23" s="67">
        <f>$C23*Tariffs!M$28</f>
        <v>63.488699999999994</v>
      </c>
      <c r="U23" s="67"/>
      <c r="V23" s="67">
        <f t="shared" si="11"/>
        <v>826.23251373785183</v>
      </c>
      <c r="W23" s="67">
        <f t="shared" si="11"/>
        <v>858.60661373785183</v>
      </c>
      <c r="X23" s="67">
        <f t="shared" si="11"/>
        <v>861.13881373785182</v>
      </c>
      <c r="Y23" s="67"/>
      <c r="Z23" s="67">
        <f>V23*(1+Tariffs!$I$8)</f>
        <v>970.82320364197597</v>
      </c>
      <c r="AA23" s="67">
        <f>W23*(1+Tariffs!$I$8)</f>
        <v>1008.8627711419759</v>
      </c>
      <c r="AB23" s="67">
        <f>X23*(1+Tariffs!$I$8)</f>
        <v>1011.8381061419759</v>
      </c>
      <c r="AC23" s="82"/>
      <c r="AD23" s="83">
        <f t="shared" si="0"/>
        <v>1100</v>
      </c>
      <c r="AE23" s="67">
        <f t="shared" si="12"/>
        <v>33.584320000000048</v>
      </c>
      <c r="AF23" s="67">
        <f t="shared" si="12"/>
        <v>71.623887500000023</v>
      </c>
      <c r="AG23" s="67">
        <f t="shared" si="12"/>
        <v>74.599222499999996</v>
      </c>
      <c r="AH23" s="80">
        <f t="shared" si="13"/>
        <v>179.80743000000007</v>
      </c>
      <c r="AI23" s="172">
        <f t="shared" si="2"/>
        <v>3.5833255092337035E-2</v>
      </c>
      <c r="AJ23" s="172">
        <f t="shared" si="3"/>
        <v>7.6420098173562545E-2</v>
      </c>
      <c r="AK23" s="172">
        <f t="shared" si="4"/>
        <v>7.9594673035884078E-2</v>
      </c>
      <c r="AL23" s="180">
        <f t="shared" si="14"/>
        <v>0.19184802630178366</v>
      </c>
      <c r="AM23" s="66"/>
    </row>
    <row r="24" spans="2:39" x14ac:dyDescent="0.3">
      <c r="B24" s="66"/>
      <c r="C24" s="84">
        <v>1200</v>
      </c>
      <c r="D24" s="85">
        <v>0.93821635722809638</v>
      </c>
      <c r="E24" s="88">
        <f>IF($C24&lt;=Tariffs!$E$29,Tariffs!$G$29,IF(AND($C24&gt;Tariffs!$E$29,$C24&lt;=Tariffs!$E$30),Tariffs!$G$30,Tariffs!$G$31))</f>
        <v>19</v>
      </c>
      <c r="F24" s="88">
        <f>IF($C24&gt;Tariffs!$E$31,(Tariffs!$F$29*Tariffs!$H$29)+(Tariffs!$F$30*Tariffs!$H$30)+(Tariffs!$F$31*Tariffs!$H$31)+(($C24-Tariffs!$E$31)*Tariffs!$H$32),IF(AND($C24&gt;Tariffs!$E$29,$C24&lt;=Tariffs!$E$30),(Tariffs!$F$29*Tariffs!$H$29)+(($C24-Tariffs!$E$29)*Tariffs!$H$30),IF(AND($C24&gt;Tariffs!$E$30,$C24&lt;=Tariffs!$E$31),(Tariffs!$F$29*Tariffs!$H$29)+(Tariffs!$F$30*Tariffs!$H$30)+(($C24-Tariffs!$E$30)*Tariffs!$H$31),$C24*Tariffs!$H$29)))</f>
        <v>310.85000000000002</v>
      </c>
      <c r="G24" s="87">
        <f t="shared" si="5"/>
        <v>329.85</v>
      </c>
      <c r="H24" s="88">
        <f>$C24*Tariffs!$J$8</f>
        <v>541.30921498674741</v>
      </c>
      <c r="I24" s="88">
        <f t="shared" si="6"/>
        <v>871.15921498674743</v>
      </c>
      <c r="J24" s="88">
        <f>I24*Tariffs!$I$8</f>
        <v>152.45286262268078</v>
      </c>
      <c r="K24" s="89">
        <f t="shared" si="7"/>
        <v>1023.6120776094282</v>
      </c>
      <c r="L24" s="81"/>
      <c r="M24" s="88">
        <f t="shared" si="8"/>
        <v>19</v>
      </c>
      <c r="N24" s="88">
        <f t="shared" si="9"/>
        <v>310.85000000000002</v>
      </c>
      <c r="O24" s="87">
        <f t="shared" si="10"/>
        <v>329.85</v>
      </c>
      <c r="P24" s="88">
        <f>$C24*Tariffs!$J$8</f>
        <v>541.30921498674741</v>
      </c>
      <c r="Q24" s="67"/>
      <c r="R24" s="88">
        <f>$C24*Tariffs!K$28</f>
        <v>31.180800000000001</v>
      </c>
      <c r="S24" s="88">
        <f>$C24*Tariffs!L$28</f>
        <v>66.498000000000005</v>
      </c>
      <c r="T24" s="88">
        <f>$C24*Tariffs!M$28</f>
        <v>69.26039999999999</v>
      </c>
      <c r="U24" s="67"/>
      <c r="V24" s="88">
        <f t="shared" si="11"/>
        <v>902.34001498674741</v>
      </c>
      <c r="W24" s="88">
        <f t="shared" si="11"/>
        <v>937.65721498674748</v>
      </c>
      <c r="X24" s="88">
        <f t="shared" si="11"/>
        <v>940.41961498674743</v>
      </c>
      <c r="Y24" s="67"/>
      <c r="Z24" s="88">
        <f>V24*(1+Tariffs!$I$8)</f>
        <v>1060.2495176094283</v>
      </c>
      <c r="AA24" s="88">
        <f>W24*(1+Tariffs!$I$8)</f>
        <v>1101.7472276094284</v>
      </c>
      <c r="AB24" s="88">
        <f>X24*(1+Tariffs!$I$8)</f>
        <v>1104.9930476094282</v>
      </c>
      <c r="AC24" s="82"/>
      <c r="AD24" s="90">
        <f t="shared" si="0"/>
        <v>1200</v>
      </c>
      <c r="AE24" s="88">
        <f t="shared" si="12"/>
        <v>36.637440000000083</v>
      </c>
      <c r="AF24" s="88">
        <f t="shared" si="12"/>
        <v>78.135150000000181</v>
      </c>
      <c r="AG24" s="88">
        <f t="shared" si="12"/>
        <v>81.380970000000048</v>
      </c>
      <c r="AH24" s="87">
        <f t="shared" si="13"/>
        <v>196.15356000000031</v>
      </c>
      <c r="AI24" s="173">
        <f t="shared" si="2"/>
        <v>3.5792309216948759E-2</v>
      </c>
      <c r="AJ24" s="173">
        <f t="shared" si="3"/>
        <v>7.6332774601955755E-2</v>
      </c>
      <c r="AK24" s="173">
        <f t="shared" si="4"/>
        <v>7.9503721947145722E-2</v>
      </c>
      <c r="AL24" s="181">
        <f t="shared" si="14"/>
        <v>0.19162880576605024</v>
      </c>
      <c r="AM24" s="66"/>
    </row>
    <row r="25" spans="2:39" x14ac:dyDescent="0.3">
      <c r="B25" s="66"/>
      <c r="C25" s="77">
        <v>1300</v>
      </c>
      <c r="D25" s="78">
        <v>0.94619515444176161</v>
      </c>
      <c r="E25" s="67">
        <f>IF($C25&lt;=Tariffs!$E$29,Tariffs!$G$29,IF(AND($C25&gt;Tariffs!$E$29,$C25&lt;=Tariffs!$E$30),Tariffs!$G$30,Tariffs!$G$31))</f>
        <v>19</v>
      </c>
      <c r="F25" s="67">
        <f>IF($C25&gt;Tariffs!$E$31,(Tariffs!$F$29*Tariffs!$H$29)+(Tariffs!$F$30*Tariffs!$H$30)+(Tariffs!$F$31*Tariffs!$H$31)+(($C25-Tariffs!$E$31)*Tariffs!$H$32),IF(AND($C25&gt;Tariffs!$E$29,$C25&lt;=Tariffs!$E$30),(Tariffs!$F$29*Tariffs!$H$29)+(($C25-Tariffs!$E$29)*Tariffs!$H$30),IF(AND($C25&gt;Tariffs!$E$30,$C25&lt;=Tariffs!$E$31),(Tariffs!$F$29*Tariffs!$H$29)+(Tariffs!$F$30*Tariffs!$H$30)+(($C25-Tariffs!$E$30)*Tariffs!$H$31),$C25*Tariffs!$H$29)))</f>
        <v>339.25</v>
      </c>
      <c r="G25" s="80">
        <f t="shared" si="5"/>
        <v>358.25</v>
      </c>
      <c r="H25" s="67">
        <f>$C25*Tariffs!$J$8</f>
        <v>586.41831623564303</v>
      </c>
      <c r="I25" s="67">
        <f t="shared" si="6"/>
        <v>944.66831623564303</v>
      </c>
      <c r="J25" s="67">
        <f>I25*Tariffs!$I$8</f>
        <v>165.31695534123753</v>
      </c>
      <c r="K25" s="81">
        <f t="shared" si="7"/>
        <v>1109.9852715768807</v>
      </c>
      <c r="L25" s="81"/>
      <c r="M25" s="67">
        <f t="shared" si="8"/>
        <v>19</v>
      </c>
      <c r="N25" s="67">
        <f t="shared" si="9"/>
        <v>339.25</v>
      </c>
      <c r="O25" s="80">
        <f t="shared" si="10"/>
        <v>358.25</v>
      </c>
      <c r="P25" s="67">
        <f>$C25*Tariffs!$J$8</f>
        <v>586.41831623564303</v>
      </c>
      <c r="Q25" s="67"/>
      <c r="R25" s="67">
        <f>$C25*Tariffs!K$28</f>
        <v>33.779200000000003</v>
      </c>
      <c r="S25" s="67">
        <f>$C25*Tariffs!L$28</f>
        <v>72.039500000000004</v>
      </c>
      <c r="T25" s="67">
        <f>$C25*Tariffs!M$28</f>
        <v>75.0321</v>
      </c>
      <c r="U25" s="67"/>
      <c r="V25" s="67">
        <f t="shared" si="11"/>
        <v>978.44751623564298</v>
      </c>
      <c r="W25" s="67">
        <f t="shared" si="11"/>
        <v>1016.707816235643</v>
      </c>
      <c r="X25" s="67">
        <f t="shared" si="11"/>
        <v>1019.700416235643</v>
      </c>
      <c r="Y25" s="67"/>
      <c r="Z25" s="67">
        <f>V25*(1+Tariffs!$I$8)</f>
        <v>1149.6758315768805</v>
      </c>
      <c r="AA25" s="67">
        <f>W25*(1+Tariffs!$I$8)</f>
        <v>1194.6316840768807</v>
      </c>
      <c r="AB25" s="67">
        <f>X25*(1+Tariffs!$I$8)</f>
        <v>1198.1479890768805</v>
      </c>
      <c r="AC25" s="82"/>
      <c r="AD25" s="83">
        <f t="shared" si="0"/>
        <v>1300</v>
      </c>
      <c r="AE25" s="67">
        <f t="shared" si="12"/>
        <v>39.690559999999778</v>
      </c>
      <c r="AF25" s="67">
        <f t="shared" si="12"/>
        <v>84.646412499999997</v>
      </c>
      <c r="AG25" s="67">
        <f t="shared" si="12"/>
        <v>88.162717499999872</v>
      </c>
      <c r="AH25" s="80">
        <f t="shared" si="13"/>
        <v>212.49968999999965</v>
      </c>
      <c r="AI25" s="172">
        <f t="shared" si="2"/>
        <v>3.5757735725280515E-2</v>
      </c>
      <c r="AJ25" s="172">
        <f t="shared" si="3"/>
        <v>7.625904114903137E-2</v>
      </c>
      <c r="AK25" s="172">
        <f t="shared" si="4"/>
        <v>7.9426925525555081E-2</v>
      </c>
      <c r="AL25" s="180">
        <f t="shared" si="14"/>
        <v>0.19144370239986697</v>
      </c>
      <c r="AM25" s="66"/>
    </row>
    <row r="26" spans="2:39" x14ac:dyDescent="0.3">
      <c r="B26" s="66"/>
      <c r="C26" s="84">
        <v>1400</v>
      </c>
      <c r="D26" s="85">
        <v>0.95289040601670683</v>
      </c>
      <c r="E26" s="88">
        <f>IF($C26&lt;=Tariffs!$E$29,Tariffs!$G$29,IF(AND($C26&gt;Tariffs!$E$29,$C26&lt;=Tariffs!$E$30),Tariffs!$G$30,Tariffs!$G$31))</f>
        <v>19</v>
      </c>
      <c r="F26" s="88">
        <f>IF($C26&gt;Tariffs!$E$31,(Tariffs!$F$29*Tariffs!$H$29)+(Tariffs!$F$30*Tariffs!$H$30)+(Tariffs!$F$31*Tariffs!$H$31)+(($C26-Tariffs!$E$31)*Tariffs!$H$32),IF(AND($C26&gt;Tariffs!$E$29,$C26&lt;=Tariffs!$E$30),(Tariffs!$F$29*Tariffs!$H$29)+(($C26-Tariffs!$E$29)*Tariffs!$H$30),IF(AND($C26&gt;Tariffs!$E$30,$C26&lt;=Tariffs!$E$31),(Tariffs!$F$29*Tariffs!$H$29)+(Tariffs!$F$30*Tariffs!$H$30)+(($C26-Tariffs!$E$30)*Tariffs!$H$31),$C26*Tariffs!$H$29)))</f>
        <v>367.65</v>
      </c>
      <c r="G26" s="87">
        <f t="shared" si="5"/>
        <v>386.65</v>
      </c>
      <c r="H26" s="88">
        <f>$C26*Tariffs!$J$8</f>
        <v>631.52741748453866</v>
      </c>
      <c r="I26" s="88">
        <f t="shared" si="6"/>
        <v>1018.1774174845386</v>
      </c>
      <c r="J26" s="88">
        <f>I26*Tariffs!$I$8</f>
        <v>178.18104805979425</v>
      </c>
      <c r="K26" s="89">
        <f t="shared" si="7"/>
        <v>1196.3584655443328</v>
      </c>
      <c r="L26" s="81"/>
      <c r="M26" s="88">
        <f t="shared" si="8"/>
        <v>19</v>
      </c>
      <c r="N26" s="88">
        <f t="shared" si="9"/>
        <v>367.65</v>
      </c>
      <c r="O26" s="87">
        <f t="shared" si="10"/>
        <v>386.65</v>
      </c>
      <c r="P26" s="88">
        <f>$C26*Tariffs!$J$8</f>
        <v>631.52741748453866</v>
      </c>
      <c r="Q26" s="67"/>
      <c r="R26" s="88">
        <f>$C26*Tariffs!K$28</f>
        <v>36.377600000000001</v>
      </c>
      <c r="S26" s="88">
        <f>$C26*Tariffs!L$28</f>
        <v>77.581000000000003</v>
      </c>
      <c r="T26" s="88">
        <f>$C26*Tariffs!M$28</f>
        <v>80.803799999999995</v>
      </c>
      <c r="U26" s="67"/>
      <c r="V26" s="88">
        <f t="shared" si="11"/>
        <v>1054.5550174845387</v>
      </c>
      <c r="W26" s="88">
        <f t="shared" si="11"/>
        <v>1095.7584174845385</v>
      </c>
      <c r="X26" s="88">
        <f t="shared" si="11"/>
        <v>1098.9812174845385</v>
      </c>
      <c r="Y26" s="67"/>
      <c r="Z26" s="88">
        <f>V26*(1+Tariffs!$I$8)</f>
        <v>1239.1021455443329</v>
      </c>
      <c r="AA26" s="88">
        <f>W26*(1+Tariffs!$I$8)</f>
        <v>1287.5161405443328</v>
      </c>
      <c r="AB26" s="88">
        <f>X26*(1+Tariffs!$I$8)</f>
        <v>1291.3029305443329</v>
      </c>
      <c r="AC26" s="82"/>
      <c r="AD26" s="90">
        <f t="shared" si="0"/>
        <v>1400</v>
      </c>
      <c r="AE26" s="88">
        <f t="shared" si="12"/>
        <v>42.74368000000004</v>
      </c>
      <c r="AF26" s="88">
        <f t="shared" si="12"/>
        <v>91.157674999999927</v>
      </c>
      <c r="AG26" s="88">
        <f t="shared" si="12"/>
        <v>94.944465000000037</v>
      </c>
      <c r="AH26" s="87">
        <f t="shared" si="13"/>
        <v>228.84582</v>
      </c>
      <c r="AI26" s="173">
        <f t="shared" si="2"/>
        <v>3.5728154421134972E-2</v>
      </c>
      <c r="AJ26" s="173">
        <f t="shared" si="3"/>
        <v>7.6195954327555215E-2</v>
      </c>
      <c r="AK26" s="173">
        <f t="shared" si="4"/>
        <v>7.9361218008183743E-2</v>
      </c>
      <c r="AL26" s="181">
        <f t="shared" si="14"/>
        <v>0.19128532675687393</v>
      </c>
      <c r="AM26" s="66"/>
    </row>
    <row r="27" spans="2:39" x14ac:dyDescent="0.3">
      <c r="B27" s="66"/>
      <c r="C27" s="77">
        <v>1500</v>
      </c>
      <c r="D27" s="78">
        <v>0.95882940637748726</v>
      </c>
      <c r="E27" s="67">
        <f>IF($C27&lt;=Tariffs!$E$29,Tariffs!$G$29,IF(AND($C27&gt;Tariffs!$E$29,$C27&lt;=Tariffs!$E$30),Tariffs!$G$30,Tariffs!$G$31))</f>
        <v>19</v>
      </c>
      <c r="F27" s="67">
        <f>IF($C27&gt;Tariffs!$E$31,(Tariffs!$F$29*Tariffs!$H$29)+(Tariffs!$F$30*Tariffs!$H$30)+(Tariffs!$F$31*Tariffs!$H$31)+(($C27-Tariffs!$E$31)*Tariffs!$H$32),IF(AND($C27&gt;Tariffs!$E$29,$C27&lt;=Tariffs!$E$30),(Tariffs!$F$29*Tariffs!$H$29)+(($C27-Tariffs!$E$29)*Tariffs!$H$30),IF(AND($C27&gt;Tariffs!$E$30,$C27&lt;=Tariffs!$E$31),(Tariffs!$F$29*Tariffs!$H$29)+(Tariffs!$F$30*Tariffs!$H$30)+(($C27-Tariffs!$E$30)*Tariffs!$H$31),$C27*Tariffs!$H$29)))</f>
        <v>396.05</v>
      </c>
      <c r="G27" s="80">
        <f t="shared" si="5"/>
        <v>415.05</v>
      </c>
      <c r="H27" s="67">
        <f>$C27*Tariffs!$J$8</f>
        <v>676.63651873343429</v>
      </c>
      <c r="I27" s="67">
        <f t="shared" si="6"/>
        <v>1091.6865187334342</v>
      </c>
      <c r="J27" s="67">
        <f>I27*Tariffs!$I$8</f>
        <v>191.04514077835097</v>
      </c>
      <c r="K27" s="81">
        <f t="shared" si="7"/>
        <v>1282.7316595117852</v>
      </c>
      <c r="L27" s="81"/>
      <c r="M27" s="67">
        <f t="shared" si="8"/>
        <v>19</v>
      </c>
      <c r="N27" s="67">
        <f t="shared" si="9"/>
        <v>396.05</v>
      </c>
      <c r="O27" s="80">
        <f t="shared" si="10"/>
        <v>415.05</v>
      </c>
      <c r="P27" s="67">
        <f>$C27*Tariffs!$J$8</f>
        <v>676.63651873343429</v>
      </c>
      <c r="Q27" s="67"/>
      <c r="R27" s="67">
        <f>$C27*Tariffs!K$28</f>
        <v>38.975999999999999</v>
      </c>
      <c r="S27" s="67">
        <f>$C27*Tariffs!L$28</f>
        <v>83.122500000000002</v>
      </c>
      <c r="T27" s="67">
        <f>$C27*Tariffs!M$28</f>
        <v>86.575499999999991</v>
      </c>
      <c r="U27" s="67"/>
      <c r="V27" s="67">
        <f t="shared" si="11"/>
        <v>1130.6625187334344</v>
      </c>
      <c r="W27" s="67">
        <f t="shared" si="11"/>
        <v>1174.8090187334342</v>
      </c>
      <c r="X27" s="67">
        <f t="shared" si="11"/>
        <v>1178.2620187334342</v>
      </c>
      <c r="Y27" s="67"/>
      <c r="Z27" s="67">
        <f>V27*(1+Tariffs!$I$8)</f>
        <v>1328.5284595117855</v>
      </c>
      <c r="AA27" s="67">
        <f>W27*(1+Tariffs!$I$8)</f>
        <v>1380.4005970117853</v>
      </c>
      <c r="AB27" s="67">
        <f>X27*(1+Tariffs!$I$8)</f>
        <v>1384.4578720117852</v>
      </c>
      <c r="AC27" s="82"/>
      <c r="AD27" s="83">
        <f t="shared" si="0"/>
        <v>1500</v>
      </c>
      <c r="AE27" s="67">
        <f t="shared" si="12"/>
        <v>45.796800000000303</v>
      </c>
      <c r="AF27" s="67">
        <f t="shared" si="12"/>
        <v>97.668937500000084</v>
      </c>
      <c r="AG27" s="67">
        <f t="shared" si="12"/>
        <v>101.72621249999997</v>
      </c>
      <c r="AH27" s="80">
        <f t="shared" si="13"/>
        <v>245.19195000000036</v>
      </c>
      <c r="AI27" s="172">
        <f t="shared" si="2"/>
        <v>3.5702556852327705E-2</v>
      </c>
      <c r="AJ27" s="172">
        <f t="shared" si="3"/>
        <v>7.6141363453345656E-2</v>
      </c>
      <c r="AK27" s="172">
        <f t="shared" si="4"/>
        <v>7.9304359369065214E-2</v>
      </c>
      <c r="AL27" s="180">
        <f t="shared" si="14"/>
        <v>0.19114827967473857</v>
      </c>
      <c r="AM27" s="66"/>
    </row>
    <row r="28" spans="2:39" x14ac:dyDescent="0.3">
      <c r="B28" s="66"/>
      <c r="C28" s="84">
        <v>1600</v>
      </c>
      <c r="D28" s="85">
        <v>0.96358893236755194</v>
      </c>
      <c r="E28" s="88">
        <f>IF($C28&lt;=Tariffs!$E$29,Tariffs!$G$29,IF(AND($C28&gt;Tariffs!$E$29,$C28&lt;=Tariffs!$E$30),Tariffs!$G$30,Tariffs!$G$31))</f>
        <v>19</v>
      </c>
      <c r="F28" s="88">
        <f>IF($C28&gt;Tariffs!$E$31,(Tariffs!$F$29*Tariffs!$H$29)+(Tariffs!$F$30*Tariffs!$H$30)+(Tariffs!$F$31*Tariffs!$H$31)+(($C28-Tariffs!$E$31)*Tariffs!$H$32),IF(AND($C28&gt;Tariffs!$E$29,$C28&lt;=Tariffs!$E$30),(Tariffs!$F$29*Tariffs!$H$29)+(($C28-Tariffs!$E$29)*Tariffs!$H$30),IF(AND($C28&gt;Tariffs!$E$30,$C28&lt;=Tariffs!$E$31),(Tariffs!$F$29*Tariffs!$H$29)+(Tariffs!$F$30*Tariffs!$H$30)+(($C28-Tariffs!$E$30)*Tariffs!$H$31),$C28*Tariffs!$H$29)))</f>
        <v>428.05</v>
      </c>
      <c r="G28" s="87">
        <f t="shared" si="5"/>
        <v>447.05</v>
      </c>
      <c r="H28" s="88">
        <f>$C28*Tariffs!$J$8</f>
        <v>721.74561998232991</v>
      </c>
      <c r="I28" s="88">
        <f t="shared" si="6"/>
        <v>1168.79561998233</v>
      </c>
      <c r="J28" s="88">
        <f>I28*Tariffs!$I$8</f>
        <v>204.53923349690774</v>
      </c>
      <c r="K28" s="89">
        <f t="shared" si="7"/>
        <v>1373.3348534792376</v>
      </c>
      <c r="L28" s="81"/>
      <c r="M28" s="88">
        <f t="shared" si="8"/>
        <v>19</v>
      </c>
      <c r="N28" s="88">
        <f t="shared" si="9"/>
        <v>428.05</v>
      </c>
      <c r="O28" s="87">
        <f t="shared" si="10"/>
        <v>447.05</v>
      </c>
      <c r="P28" s="88">
        <f>$C28*Tariffs!$J$8</f>
        <v>721.74561998232991</v>
      </c>
      <c r="Q28" s="67"/>
      <c r="R28" s="88">
        <f>$C28*Tariffs!K$28</f>
        <v>41.574399999999997</v>
      </c>
      <c r="S28" s="88">
        <f>$C28*Tariffs!L$28</f>
        <v>88.664000000000001</v>
      </c>
      <c r="T28" s="88">
        <f>$C28*Tariffs!M$28</f>
        <v>92.347200000000001</v>
      </c>
      <c r="U28" s="67"/>
      <c r="V28" s="88">
        <f t="shared" si="11"/>
        <v>1210.3700199823299</v>
      </c>
      <c r="W28" s="88">
        <f t="shared" si="11"/>
        <v>1257.45961998233</v>
      </c>
      <c r="X28" s="88">
        <f t="shared" si="11"/>
        <v>1261.1428199823299</v>
      </c>
      <c r="Y28" s="67"/>
      <c r="Z28" s="88">
        <f>V28*(1+Tariffs!$I$8)</f>
        <v>1422.1847734792377</v>
      </c>
      <c r="AA28" s="88">
        <f>W28*(1+Tariffs!$I$8)</f>
        <v>1477.5150534792378</v>
      </c>
      <c r="AB28" s="88">
        <f>X28*(1+Tariffs!$I$8)</f>
        <v>1481.8428134792377</v>
      </c>
      <c r="AC28" s="82"/>
      <c r="AD28" s="114">
        <f t="shared" si="0"/>
        <v>1600</v>
      </c>
      <c r="AE28" s="136">
        <f t="shared" si="12"/>
        <v>48.849920000000111</v>
      </c>
      <c r="AF28" s="136">
        <f t="shared" si="12"/>
        <v>104.18020000000024</v>
      </c>
      <c r="AG28" s="136">
        <f t="shared" si="12"/>
        <v>108.50796000000014</v>
      </c>
      <c r="AH28" s="183">
        <f t="shared" si="13"/>
        <v>261.53808000000049</v>
      </c>
      <c r="AI28" s="184">
        <f t="shared" si="2"/>
        <v>3.5570290724248776E-2</v>
      </c>
      <c r="AJ28" s="184">
        <f t="shared" si="3"/>
        <v>7.5859284963217588E-2</v>
      </c>
      <c r="AK28" s="184">
        <f t="shared" si="4"/>
        <v>7.9010563028458547E-2</v>
      </c>
      <c r="AL28" s="185">
        <f t="shared" si="14"/>
        <v>0.19044013871592491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E4:J4"/>
    <mergeCell ref="N4:AB4"/>
    <mergeCell ref="AE4:AL4"/>
    <mergeCell ref="R5:T5"/>
    <mergeCell ref="V5:X5"/>
    <mergeCell ref="Z5:AB5"/>
    <mergeCell ref="AE5:AH5"/>
    <mergeCell ref="AI5:AL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D755-8539-4F02-9A42-85437EFA1D35}">
  <dimension ref="B1:AN699"/>
  <sheetViews>
    <sheetView workbookViewId="0">
      <selection activeCell="AI10" sqref="AI10"/>
    </sheetView>
  </sheetViews>
  <sheetFormatPr defaultColWidth="9.109375" defaultRowHeight="14.4" outlineLevelCol="1" x14ac:dyDescent="0.3"/>
  <cols>
    <col min="1" max="1" width="9.109375" style="68"/>
    <col min="2" max="2" width="6.5546875" style="68" customWidth="1"/>
    <col min="3" max="3" width="18.109375" style="68" customWidth="1"/>
    <col min="4" max="4" width="9.109375" style="68" hidden="1" customWidth="1" outlineLevel="1"/>
    <col min="5" max="5" width="13.44140625" style="68" hidden="1" customWidth="1" outlineLevel="1"/>
    <col min="6" max="6" width="13.109375" style="68" hidden="1" customWidth="1" outlineLevel="1"/>
    <col min="7" max="7" width="10.5546875" style="68" hidden="1" customWidth="1" outlineLevel="1"/>
    <col min="8" max="9" width="9.5546875" style="68" hidden="1" customWidth="1" outlineLevel="1"/>
    <col min="10" max="10" width="10.5546875" style="68" hidden="1" customWidth="1" outlineLevel="1"/>
    <col min="11" max="11" width="9.5546875" style="68" hidden="1" customWidth="1" outlineLevel="1"/>
    <col min="12" max="12" width="10" style="68" hidden="1" customWidth="1" outlineLevel="1"/>
    <col min="13" max="13" width="3.21875" hidden="1" customWidth="1" outlineLevel="1"/>
    <col min="14" max="17" width="10" style="68" hidden="1" customWidth="1" outlineLevel="1"/>
    <col min="18" max="18" width="1.88671875" style="68" hidden="1" customWidth="1" outlineLevel="1"/>
    <col min="19" max="21" width="10" style="68" hidden="1" customWidth="1" outlineLevel="1"/>
    <col min="22" max="22" width="3.109375" style="68" hidden="1" customWidth="1" outlineLevel="1"/>
    <col min="23" max="25" width="10" style="68" hidden="1" customWidth="1" outlineLevel="1"/>
    <col min="26" max="26" width="3.33203125" style="68" hidden="1" customWidth="1" outlineLevel="1"/>
    <col min="27" max="29" width="10" style="68" hidden="1" customWidth="1" outlineLevel="1"/>
    <col min="30" max="30" width="2.109375" style="68" customWidth="1" collapsed="1"/>
    <col min="31" max="31" width="10" style="68" bestFit="1" customWidth="1"/>
    <col min="32" max="34" width="11" style="68" customWidth="1"/>
    <col min="35" max="35" width="12.6640625" style="68" customWidth="1"/>
    <col min="36" max="36" width="9.6640625" style="68" customWidth="1"/>
    <col min="37" max="38" width="9.109375" style="68"/>
    <col min="39" max="39" width="11.21875" style="68" customWidth="1"/>
    <col min="40" max="16384" width="9.109375" style="68"/>
  </cols>
  <sheetData>
    <row r="1" spans="2:40" x14ac:dyDescent="0.3">
      <c r="M1" s="68"/>
    </row>
    <row r="2" spans="2:40" ht="8.4" customHeight="1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</row>
    <row r="3" spans="2:40" ht="25.8" customHeight="1" x14ac:dyDescent="0.3">
      <c r="B3" s="241" t="str">
        <f>"Street Lights Tariff Bill Impacts"&amp;"-"&amp;'CETR Rate'!F2</f>
        <v>Street Lights Tariff Bill Impacts-Clean Energy Transistion Plan Project 1</v>
      </c>
      <c r="C3" s="241"/>
      <c r="D3" s="69"/>
      <c r="E3" s="66"/>
      <c r="F3" s="66"/>
      <c r="G3" s="66"/>
      <c r="H3" s="66"/>
      <c r="I3" s="66"/>
      <c r="J3" s="66"/>
      <c r="K3" s="66"/>
      <c r="L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 t="str">
        <f>B3</f>
        <v>Street Lights Tariff Bill Impacts-Clean Energy Transistion Plan Project 1</v>
      </c>
      <c r="AG3" s="66"/>
      <c r="AH3" s="66"/>
      <c r="AI3" s="66"/>
      <c r="AJ3" s="66"/>
      <c r="AK3" s="66"/>
      <c r="AL3" s="66"/>
      <c r="AM3" s="66"/>
      <c r="AN3" s="66"/>
    </row>
    <row r="4" spans="2:40" ht="30.6" customHeight="1" x14ac:dyDescent="0.3">
      <c r="B4" s="66"/>
      <c r="C4" s="71"/>
      <c r="D4" s="71"/>
      <c r="E4" s="71"/>
      <c r="F4" s="252" t="s">
        <v>103</v>
      </c>
      <c r="G4" s="253"/>
      <c r="H4" s="253"/>
      <c r="I4" s="253"/>
      <c r="J4" s="253"/>
      <c r="K4" s="253"/>
      <c r="L4" s="74"/>
      <c r="M4" s="112"/>
      <c r="N4" s="74"/>
      <c r="O4" s="252" t="s">
        <v>113</v>
      </c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75"/>
      <c r="AE4" s="179"/>
      <c r="AF4" s="251" t="s">
        <v>152</v>
      </c>
      <c r="AG4" s="251"/>
      <c r="AH4" s="251"/>
      <c r="AI4" s="251"/>
      <c r="AJ4" s="251"/>
      <c r="AK4" s="251"/>
      <c r="AL4" s="251"/>
      <c r="AM4" s="251"/>
      <c r="AN4" s="66"/>
    </row>
    <row r="5" spans="2:40" ht="60" customHeight="1" x14ac:dyDescent="0.3">
      <c r="B5" s="66"/>
      <c r="C5" s="71"/>
      <c r="D5" s="71"/>
      <c r="E5" s="71"/>
      <c r="F5" s="72"/>
      <c r="G5" s="73"/>
      <c r="H5" s="73"/>
      <c r="I5" s="73"/>
      <c r="J5" s="73"/>
      <c r="K5" s="73"/>
      <c r="L5" s="74"/>
      <c r="M5" s="112"/>
      <c r="N5" s="74"/>
      <c r="O5" s="72"/>
      <c r="P5" s="73"/>
      <c r="Q5" s="73"/>
      <c r="R5" s="73"/>
      <c r="S5" s="254" t="s">
        <v>151</v>
      </c>
      <c r="T5" s="254"/>
      <c r="U5" s="254"/>
      <c r="V5" s="73"/>
      <c r="W5" s="255" t="s">
        <v>99</v>
      </c>
      <c r="X5" s="255"/>
      <c r="Y5" s="255"/>
      <c r="Z5" s="73"/>
      <c r="AA5" s="255" t="s">
        <v>95</v>
      </c>
      <c r="AB5" s="255"/>
      <c r="AC5" s="255"/>
      <c r="AD5" s="75"/>
      <c r="AE5" s="178"/>
      <c r="AF5" s="250" t="s">
        <v>101</v>
      </c>
      <c r="AG5" s="250"/>
      <c r="AH5" s="250"/>
      <c r="AI5" s="250"/>
      <c r="AJ5" s="250" t="s">
        <v>102</v>
      </c>
      <c r="AK5" s="250"/>
      <c r="AL5" s="250"/>
      <c r="AM5" s="250"/>
      <c r="AN5" s="66"/>
    </row>
    <row r="6" spans="2:40" ht="43.2" x14ac:dyDescent="0.3">
      <c r="B6" s="66"/>
      <c r="C6" s="71"/>
      <c r="D6" s="188" t="s">
        <v>96</v>
      </c>
      <c r="E6" s="72" t="s">
        <v>97</v>
      </c>
      <c r="F6" s="72" t="s">
        <v>15</v>
      </c>
      <c r="G6" s="72" t="s">
        <v>16</v>
      </c>
      <c r="H6" s="72" t="s">
        <v>98</v>
      </c>
      <c r="I6" s="72" t="s">
        <v>17</v>
      </c>
      <c r="J6" s="72" t="s">
        <v>99</v>
      </c>
      <c r="K6" s="72" t="s">
        <v>100</v>
      </c>
      <c r="L6" s="72" t="s">
        <v>95</v>
      </c>
      <c r="M6" s="101"/>
      <c r="N6" s="72" t="s">
        <v>15</v>
      </c>
      <c r="O6" s="72" t="s">
        <v>16</v>
      </c>
      <c r="P6" s="72" t="s">
        <v>98</v>
      </c>
      <c r="Q6" s="72" t="s">
        <v>17</v>
      </c>
      <c r="R6" s="72"/>
      <c r="S6" s="72">
        <v>2024</v>
      </c>
      <c r="T6" s="72">
        <v>2025</v>
      </c>
      <c r="U6" s="72">
        <v>2026</v>
      </c>
      <c r="V6" s="72"/>
      <c r="W6" s="72">
        <v>2024</v>
      </c>
      <c r="X6" s="72">
        <v>2025</v>
      </c>
      <c r="Y6" s="72">
        <v>2026</v>
      </c>
      <c r="Z6" s="72"/>
      <c r="AA6" s="72">
        <v>2024</v>
      </c>
      <c r="AB6" s="72">
        <v>2025</v>
      </c>
      <c r="AC6" s="72">
        <v>2026</v>
      </c>
      <c r="AD6" s="66"/>
      <c r="AE6" s="177" t="s">
        <v>96</v>
      </c>
      <c r="AF6" s="176">
        <v>2024</v>
      </c>
      <c r="AG6" s="176">
        <v>2025</v>
      </c>
      <c r="AH6" s="176">
        <v>2026</v>
      </c>
      <c r="AI6" s="176" t="s">
        <v>156</v>
      </c>
      <c r="AJ6" s="176">
        <v>2024</v>
      </c>
      <c r="AK6" s="176">
        <v>2025</v>
      </c>
      <c r="AL6" s="176">
        <v>2026</v>
      </c>
      <c r="AM6" s="176" t="s">
        <v>156</v>
      </c>
      <c r="AN6" s="66"/>
    </row>
    <row r="7" spans="2:40" x14ac:dyDescent="0.3">
      <c r="B7" s="66"/>
      <c r="C7" s="133" t="s">
        <v>146</v>
      </c>
      <c r="D7" s="66">
        <v>7.56</v>
      </c>
      <c r="E7" s="78">
        <v>6.5789162832419701E-2</v>
      </c>
      <c r="F7" s="67">
        <f>Tariffs!$E$57</f>
        <v>7.04</v>
      </c>
      <c r="G7" s="79"/>
      <c r="H7" s="80">
        <f>G7+F7</f>
        <v>7.04</v>
      </c>
      <c r="I7" s="67">
        <f>$D7*Tariffs!$J$8</f>
        <v>3.4102480544165084</v>
      </c>
      <c r="J7" s="67">
        <f>I7+H7</f>
        <v>10.450248054416509</v>
      </c>
      <c r="K7" s="67">
        <f>J7*Tariffs!$I$8</f>
        <v>1.8287934095228888</v>
      </c>
      <c r="L7" s="81">
        <f>K7+J7</f>
        <v>12.279041463939398</v>
      </c>
      <c r="M7" s="81"/>
      <c r="N7" s="67">
        <f>F7</f>
        <v>7.04</v>
      </c>
      <c r="O7" s="79"/>
      <c r="P7" s="80">
        <f>O7+N7</f>
        <v>7.04</v>
      </c>
      <c r="Q7" s="67">
        <f>$D7*Tariffs!$J$8</f>
        <v>3.4102480544165084</v>
      </c>
      <c r="R7" s="67"/>
      <c r="S7" s="67">
        <f>$D7*Tariffs!H$57</f>
        <v>0.19643903999999998</v>
      </c>
      <c r="T7" s="67">
        <f>$D7*Tariffs!I$57</f>
        <v>0.41893739999999996</v>
      </c>
      <c r="U7" s="67">
        <f>$D7*Tariffs!J$57</f>
        <v>0.43634051999999995</v>
      </c>
      <c r="V7" s="67"/>
      <c r="W7" s="67">
        <f>$Q7+$P7+S7</f>
        <v>10.646687094416508</v>
      </c>
      <c r="X7" s="67">
        <f>$Q7+$P7+T7</f>
        <v>10.86918545441651</v>
      </c>
      <c r="Y7" s="67">
        <f>$Q7+$P7+U7</f>
        <v>10.886588574416509</v>
      </c>
      <c r="Z7" s="67"/>
      <c r="AA7" s="67">
        <f>W7*(1+Tariffs!$I$8)</f>
        <v>12.509857335939397</v>
      </c>
      <c r="AB7" s="67">
        <f>X7*(1+Tariffs!$I$8)</f>
        <v>12.771292908939399</v>
      </c>
      <c r="AC7" s="67">
        <f>Y7*(1+Tariffs!$I$8)</f>
        <v>12.791741574939397</v>
      </c>
      <c r="AD7" s="82"/>
      <c r="AE7" s="83">
        <f t="shared" ref="AE7:AE8" si="0">D7</f>
        <v>7.56</v>
      </c>
      <c r="AF7" s="67">
        <f>AA7-$L7</f>
        <v>0.23081587199999909</v>
      </c>
      <c r="AG7" s="67">
        <f t="shared" ref="AG7:AH8" si="1">AB7-$L7</f>
        <v>0.49225144500000084</v>
      </c>
      <c r="AH7" s="67">
        <f t="shared" si="1"/>
        <v>0.51270011099999913</v>
      </c>
      <c r="AI7" s="80">
        <f>SUM(AF7:AH7)</f>
        <v>1.2357674279999991</v>
      </c>
      <c r="AJ7" s="172">
        <f t="shared" ref="AJ7:AL8" si="2">AA7/$L7-1</f>
        <v>1.8797548055998536E-2</v>
      </c>
      <c r="AK7" s="172">
        <f t="shared" si="2"/>
        <v>4.0088751751969021E-2</v>
      </c>
      <c r="AL7" s="172">
        <f t="shared" si="2"/>
        <v>4.1754082556499039E-2</v>
      </c>
      <c r="AM7" s="180">
        <f>SUM(AJ7:AL7)</f>
        <v>0.1006403823644666</v>
      </c>
      <c r="AN7" s="66"/>
    </row>
    <row r="8" spans="2:40" x14ac:dyDescent="0.3">
      <c r="B8" s="66"/>
      <c r="C8" s="134" t="s">
        <v>147</v>
      </c>
      <c r="D8" s="135">
        <v>17.28</v>
      </c>
      <c r="E8" s="85">
        <v>9.8571705727423492E-2</v>
      </c>
      <c r="F8" s="88">
        <f>Tariffs!$E$57</f>
        <v>7.04</v>
      </c>
      <c r="G8" s="86"/>
      <c r="H8" s="87">
        <f t="shared" ref="H8" si="3">G8+F8</f>
        <v>7.04</v>
      </c>
      <c r="I8" s="88">
        <f>$D8*Tariffs!$J$8</f>
        <v>7.7948526958091628</v>
      </c>
      <c r="J8" s="88">
        <f t="shared" ref="J8" si="4">I8+H8</f>
        <v>14.834852695809163</v>
      </c>
      <c r="K8" s="88">
        <f>J8*Tariffs!$I$8</f>
        <v>2.5960992217666035</v>
      </c>
      <c r="L8" s="89">
        <f t="shared" ref="L8" si="5">K8+J8</f>
        <v>17.430951917575765</v>
      </c>
      <c r="M8" s="81"/>
      <c r="N8" s="88">
        <f>F8</f>
        <v>7.04</v>
      </c>
      <c r="O8" s="86"/>
      <c r="P8" s="87">
        <f t="shared" ref="P8" si="6">O8+N8</f>
        <v>7.04</v>
      </c>
      <c r="Q8" s="88">
        <f>$D8*Tariffs!$J$8</f>
        <v>7.7948526958091628</v>
      </c>
      <c r="R8" s="67"/>
      <c r="S8" s="88">
        <f>$D8*Tariffs!H$57</f>
        <v>0.44900352000000004</v>
      </c>
      <c r="T8" s="88">
        <f>$D8*Tariffs!I$57</f>
        <v>0.95757120000000007</v>
      </c>
      <c r="U8" s="88">
        <f>$D8*Tariffs!J$57</f>
        <v>0.99734975999999997</v>
      </c>
      <c r="V8" s="67"/>
      <c r="W8" s="88">
        <f t="shared" ref="W8:Y8" si="7">$Q8+$P8+S8</f>
        <v>15.283856215809163</v>
      </c>
      <c r="X8" s="88">
        <f t="shared" si="7"/>
        <v>15.792423895809163</v>
      </c>
      <c r="Y8" s="88">
        <f t="shared" si="7"/>
        <v>15.832202455809163</v>
      </c>
      <c r="Z8" s="67"/>
      <c r="AA8" s="88">
        <f>W8*(1+Tariffs!$I$8)</f>
        <v>17.958531053575769</v>
      </c>
      <c r="AB8" s="88">
        <f>X8*(1+Tariffs!$I$8)</f>
        <v>18.556098077575768</v>
      </c>
      <c r="AC8" s="88">
        <f>Y8*(1+Tariffs!$I$8)</f>
        <v>18.602837885575767</v>
      </c>
      <c r="AD8" s="82"/>
      <c r="AE8" s="90">
        <f t="shared" si="0"/>
        <v>17.28</v>
      </c>
      <c r="AF8" s="88">
        <f t="shared" ref="AF8" si="8">AA8-$L8</f>
        <v>0.5275791360000035</v>
      </c>
      <c r="AG8" s="88">
        <f t="shared" si="1"/>
        <v>1.1251461600000034</v>
      </c>
      <c r="AH8" s="88">
        <f t="shared" si="1"/>
        <v>1.1718859680000016</v>
      </c>
      <c r="AI8" s="87">
        <f t="shared" ref="AI8" si="9">SUM(AF8:AH8)</f>
        <v>2.8246112640000085</v>
      </c>
      <c r="AJ8" s="173">
        <f t="shared" si="2"/>
        <v>3.026680002874893E-2</v>
      </c>
      <c r="AK8" s="173">
        <f t="shared" si="2"/>
        <v>6.4548750138281985E-2</v>
      </c>
      <c r="AL8" s="173">
        <f t="shared" si="2"/>
        <v>6.7230176156838573E-2</v>
      </c>
      <c r="AM8" s="181">
        <f t="shared" ref="AM8" si="10">SUM(AJ8:AL8)</f>
        <v>0.16204572632386949</v>
      </c>
      <c r="AN8" s="66"/>
    </row>
    <row r="9" spans="2:40" x14ac:dyDescent="0.3">
      <c r="B9" s="66"/>
      <c r="C9" s="66"/>
      <c r="D9" s="97"/>
      <c r="E9" s="97"/>
      <c r="F9" s="98"/>
      <c r="G9" s="98"/>
      <c r="H9" s="67"/>
      <c r="I9" s="67"/>
      <c r="J9" s="67"/>
      <c r="K9" s="67"/>
      <c r="L9" s="67"/>
      <c r="M9" s="3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</row>
    <row r="10" spans="2:40" x14ac:dyDescent="0.3">
      <c r="M10" s="68"/>
    </row>
    <row r="11" spans="2:40" x14ac:dyDescent="0.3">
      <c r="M11" s="68"/>
    </row>
    <row r="12" spans="2:40" x14ac:dyDescent="0.3">
      <c r="M12" s="68"/>
    </row>
    <row r="13" spans="2:40" x14ac:dyDescent="0.3">
      <c r="M13" s="68"/>
    </row>
    <row r="14" spans="2:40" x14ac:dyDescent="0.3">
      <c r="M14" s="68"/>
    </row>
    <row r="15" spans="2:40" x14ac:dyDescent="0.3">
      <c r="M15" s="68"/>
    </row>
    <row r="16" spans="2:40" x14ac:dyDescent="0.3">
      <c r="M16" s="68"/>
    </row>
    <row r="17" spans="13:13" x14ac:dyDescent="0.3">
      <c r="M17" s="68"/>
    </row>
    <row r="18" spans="13:13" x14ac:dyDescent="0.3">
      <c r="M18" s="68"/>
    </row>
    <row r="19" spans="13:13" x14ac:dyDescent="0.3">
      <c r="M19" s="68"/>
    </row>
    <row r="20" spans="13:13" x14ac:dyDescent="0.3">
      <c r="M20" s="68"/>
    </row>
    <row r="21" spans="13:13" x14ac:dyDescent="0.3">
      <c r="M21" s="68"/>
    </row>
    <row r="22" spans="13:13" x14ac:dyDescent="0.3">
      <c r="M22" s="68"/>
    </row>
    <row r="23" spans="13:13" x14ac:dyDescent="0.3">
      <c r="M23" s="68"/>
    </row>
    <row r="24" spans="13:13" x14ac:dyDescent="0.3">
      <c r="M24" s="68"/>
    </row>
    <row r="25" spans="13:13" x14ac:dyDescent="0.3">
      <c r="M25" s="68"/>
    </row>
    <row r="26" spans="13:13" x14ac:dyDescent="0.3">
      <c r="M26" s="68"/>
    </row>
    <row r="27" spans="13:13" x14ac:dyDescent="0.3">
      <c r="M27" s="68"/>
    </row>
    <row r="28" spans="13:13" x14ac:dyDescent="0.3">
      <c r="M28" s="68"/>
    </row>
    <row r="29" spans="13:13" x14ac:dyDescent="0.3">
      <c r="M29" s="68"/>
    </row>
    <row r="30" spans="13:13" x14ac:dyDescent="0.3">
      <c r="M30" s="68"/>
    </row>
    <row r="31" spans="13:13" x14ac:dyDescent="0.3">
      <c r="M31" s="68"/>
    </row>
    <row r="32" spans="13:13" x14ac:dyDescent="0.3">
      <c r="M32" s="68"/>
    </row>
    <row r="33" spans="13:13" x14ac:dyDescent="0.3">
      <c r="M33" s="68"/>
    </row>
    <row r="34" spans="13:13" x14ac:dyDescent="0.3">
      <c r="M34" s="68"/>
    </row>
    <row r="35" spans="13:13" x14ac:dyDescent="0.3">
      <c r="M35" s="68"/>
    </row>
    <row r="36" spans="13:13" x14ac:dyDescent="0.3">
      <c r="M36" s="68"/>
    </row>
    <row r="37" spans="13:13" x14ac:dyDescent="0.3">
      <c r="M37" s="68"/>
    </row>
    <row r="38" spans="13:13" x14ac:dyDescent="0.3">
      <c r="M38" s="68"/>
    </row>
    <row r="39" spans="13:13" x14ac:dyDescent="0.3">
      <c r="M39" s="68"/>
    </row>
    <row r="40" spans="13:13" x14ac:dyDescent="0.3">
      <c r="M40" s="68"/>
    </row>
    <row r="41" spans="13:13" x14ac:dyDescent="0.3">
      <c r="M41" s="68"/>
    </row>
    <row r="42" spans="13:13" x14ac:dyDescent="0.3">
      <c r="M42" s="68"/>
    </row>
    <row r="43" spans="13:13" x14ac:dyDescent="0.3">
      <c r="M43" s="68"/>
    </row>
    <row r="44" spans="13:13" x14ac:dyDescent="0.3">
      <c r="M44" s="68"/>
    </row>
    <row r="45" spans="13:13" x14ac:dyDescent="0.3">
      <c r="M45" s="68"/>
    </row>
    <row r="46" spans="13:13" x14ac:dyDescent="0.3">
      <c r="M46" s="68"/>
    </row>
    <row r="47" spans="13:13" x14ac:dyDescent="0.3">
      <c r="M47" s="68"/>
    </row>
    <row r="48" spans="13:13" x14ac:dyDescent="0.3">
      <c r="M48" s="68"/>
    </row>
    <row r="49" spans="13:13" x14ac:dyDescent="0.3">
      <c r="M49" s="68"/>
    </row>
    <row r="50" spans="13:13" x14ac:dyDescent="0.3">
      <c r="M50" s="68"/>
    </row>
    <row r="51" spans="13:13" x14ac:dyDescent="0.3">
      <c r="M51" s="68"/>
    </row>
    <row r="52" spans="13:13" x14ac:dyDescent="0.3">
      <c r="M52" s="68"/>
    </row>
    <row r="53" spans="13:13" x14ac:dyDescent="0.3">
      <c r="M53" s="68"/>
    </row>
    <row r="54" spans="13:13" x14ac:dyDescent="0.3">
      <c r="M54" s="68"/>
    </row>
    <row r="55" spans="13:13" x14ac:dyDescent="0.3">
      <c r="M55" s="68"/>
    </row>
    <row r="56" spans="13:13" x14ac:dyDescent="0.3">
      <c r="M56" s="68"/>
    </row>
    <row r="57" spans="13:13" x14ac:dyDescent="0.3">
      <c r="M57" s="68"/>
    </row>
    <row r="58" spans="13:13" x14ac:dyDescent="0.3">
      <c r="M58" s="68"/>
    </row>
    <row r="59" spans="13:13" x14ac:dyDescent="0.3">
      <c r="M59" s="68"/>
    </row>
    <row r="60" spans="13:13" x14ac:dyDescent="0.3">
      <c r="M60" s="68"/>
    </row>
    <row r="61" spans="13:13" x14ac:dyDescent="0.3">
      <c r="M61" s="68"/>
    </row>
    <row r="62" spans="13:13" x14ac:dyDescent="0.3">
      <c r="M62" s="68"/>
    </row>
    <row r="63" spans="13:13" x14ac:dyDescent="0.3">
      <c r="M63" s="68"/>
    </row>
    <row r="64" spans="13:13" x14ac:dyDescent="0.3">
      <c r="M64" s="68"/>
    </row>
    <row r="65" spans="13:13" x14ac:dyDescent="0.3">
      <c r="M65" s="68"/>
    </row>
    <row r="66" spans="13:13" x14ac:dyDescent="0.3">
      <c r="M66" s="68"/>
    </row>
    <row r="67" spans="13:13" x14ac:dyDescent="0.3">
      <c r="M67" s="68"/>
    </row>
    <row r="68" spans="13:13" x14ac:dyDescent="0.3">
      <c r="M68" s="68"/>
    </row>
    <row r="69" spans="13:13" x14ac:dyDescent="0.3">
      <c r="M69" s="68"/>
    </row>
    <row r="70" spans="13:13" x14ac:dyDescent="0.3">
      <c r="M70" s="68"/>
    </row>
    <row r="71" spans="13:13" x14ac:dyDescent="0.3">
      <c r="M71" s="68"/>
    </row>
    <row r="72" spans="13:13" x14ac:dyDescent="0.3">
      <c r="M72" s="68"/>
    </row>
    <row r="73" spans="13:13" x14ac:dyDescent="0.3">
      <c r="M73" s="68"/>
    </row>
    <row r="74" spans="13:13" x14ac:dyDescent="0.3">
      <c r="M74" s="68"/>
    </row>
    <row r="75" spans="13:13" x14ac:dyDescent="0.3">
      <c r="M75" s="68"/>
    </row>
    <row r="76" spans="13:13" x14ac:dyDescent="0.3">
      <c r="M76" s="68"/>
    </row>
    <row r="77" spans="13:13" x14ac:dyDescent="0.3">
      <c r="M77" s="68"/>
    </row>
    <row r="78" spans="13:13" x14ac:dyDescent="0.3">
      <c r="M78" s="68"/>
    </row>
    <row r="79" spans="13:13" x14ac:dyDescent="0.3">
      <c r="M79" s="68"/>
    </row>
    <row r="80" spans="13:13" x14ac:dyDescent="0.3">
      <c r="M80" s="68"/>
    </row>
    <row r="81" spans="13:13" x14ac:dyDescent="0.3">
      <c r="M81" s="68"/>
    </row>
    <row r="82" spans="13:13" x14ac:dyDescent="0.3">
      <c r="M82" s="68"/>
    </row>
    <row r="83" spans="13:13" x14ac:dyDescent="0.3">
      <c r="M83" s="68"/>
    </row>
    <row r="84" spans="13:13" x14ac:dyDescent="0.3">
      <c r="M84" s="68"/>
    </row>
    <row r="85" spans="13:13" x14ac:dyDescent="0.3">
      <c r="M85" s="68"/>
    </row>
    <row r="86" spans="13:13" x14ac:dyDescent="0.3">
      <c r="M86" s="68"/>
    </row>
    <row r="87" spans="13:13" x14ac:dyDescent="0.3">
      <c r="M87" s="68"/>
    </row>
    <row r="88" spans="13:13" x14ac:dyDescent="0.3">
      <c r="M88" s="68"/>
    </row>
    <row r="89" spans="13:13" x14ac:dyDescent="0.3">
      <c r="M89" s="68"/>
    </row>
    <row r="90" spans="13:13" x14ac:dyDescent="0.3">
      <c r="M90" s="68"/>
    </row>
    <row r="91" spans="13:13" x14ac:dyDescent="0.3">
      <c r="M91" s="68"/>
    </row>
    <row r="92" spans="13:13" x14ac:dyDescent="0.3">
      <c r="M92" s="68"/>
    </row>
    <row r="93" spans="13:13" x14ac:dyDescent="0.3">
      <c r="M93" s="68"/>
    </row>
    <row r="94" spans="13:13" x14ac:dyDescent="0.3">
      <c r="M94" s="68"/>
    </row>
    <row r="95" spans="13:13" x14ac:dyDescent="0.3">
      <c r="M95" s="68"/>
    </row>
    <row r="96" spans="13:13" x14ac:dyDescent="0.3">
      <c r="M96" s="68"/>
    </row>
    <row r="97" spans="13:13" x14ac:dyDescent="0.3">
      <c r="M97" s="68"/>
    </row>
    <row r="98" spans="13:13" x14ac:dyDescent="0.3">
      <c r="M98" s="68"/>
    </row>
    <row r="99" spans="13:13" x14ac:dyDescent="0.3">
      <c r="M99" s="68"/>
    </row>
    <row r="100" spans="13:13" x14ac:dyDescent="0.3">
      <c r="M100" s="68"/>
    </row>
    <row r="101" spans="13:13" x14ac:dyDescent="0.3">
      <c r="M101" s="68"/>
    </row>
    <row r="102" spans="13:13" x14ac:dyDescent="0.3">
      <c r="M102" s="68"/>
    </row>
    <row r="103" spans="13:13" x14ac:dyDescent="0.3">
      <c r="M103" s="68"/>
    </row>
    <row r="104" spans="13:13" x14ac:dyDescent="0.3">
      <c r="M104" s="68"/>
    </row>
    <row r="105" spans="13:13" x14ac:dyDescent="0.3">
      <c r="M105" s="68"/>
    </row>
    <row r="106" spans="13:13" x14ac:dyDescent="0.3">
      <c r="M106" s="68"/>
    </row>
    <row r="107" spans="13:13" x14ac:dyDescent="0.3">
      <c r="M107" s="68"/>
    </row>
    <row r="108" spans="13:13" x14ac:dyDescent="0.3">
      <c r="M108" s="68"/>
    </row>
    <row r="109" spans="13:13" x14ac:dyDescent="0.3">
      <c r="M109" s="68"/>
    </row>
    <row r="110" spans="13:13" x14ac:dyDescent="0.3">
      <c r="M110" s="68"/>
    </row>
    <row r="111" spans="13:13" x14ac:dyDescent="0.3">
      <c r="M111" s="68"/>
    </row>
    <row r="112" spans="13:13" x14ac:dyDescent="0.3">
      <c r="M112" s="68"/>
    </row>
    <row r="113" spans="13:13" x14ac:dyDescent="0.3">
      <c r="M113" s="68"/>
    </row>
    <row r="114" spans="13:13" x14ac:dyDescent="0.3">
      <c r="M114" s="68"/>
    </row>
    <row r="115" spans="13:13" x14ac:dyDescent="0.3">
      <c r="M115" s="68"/>
    </row>
    <row r="116" spans="13:13" x14ac:dyDescent="0.3">
      <c r="M116" s="68"/>
    </row>
    <row r="117" spans="13:13" x14ac:dyDescent="0.3">
      <c r="M117" s="68"/>
    </row>
    <row r="118" spans="13:13" x14ac:dyDescent="0.3">
      <c r="M118" s="68"/>
    </row>
    <row r="119" spans="13:13" x14ac:dyDescent="0.3">
      <c r="M119" s="68"/>
    </row>
    <row r="120" spans="13:13" x14ac:dyDescent="0.3">
      <c r="M120" s="68"/>
    </row>
    <row r="121" spans="13:13" x14ac:dyDescent="0.3">
      <c r="M121" s="68"/>
    </row>
    <row r="122" spans="13:13" x14ac:dyDescent="0.3">
      <c r="M122" s="68"/>
    </row>
    <row r="123" spans="13:13" x14ac:dyDescent="0.3">
      <c r="M123" s="68"/>
    </row>
    <row r="124" spans="13:13" x14ac:dyDescent="0.3">
      <c r="M124" s="68"/>
    </row>
    <row r="125" spans="13:13" x14ac:dyDescent="0.3">
      <c r="M125" s="68"/>
    </row>
    <row r="126" spans="13:13" x14ac:dyDescent="0.3">
      <c r="M126" s="68"/>
    </row>
    <row r="127" spans="13:13" x14ac:dyDescent="0.3">
      <c r="M127" s="68"/>
    </row>
    <row r="128" spans="13:13" x14ac:dyDescent="0.3">
      <c r="M128" s="68"/>
    </row>
    <row r="129" spans="13:13" x14ac:dyDescent="0.3">
      <c r="M129" s="68"/>
    </row>
    <row r="130" spans="13:13" x14ac:dyDescent="0.3">
      <c r="M130" s="68"/>
    </row>
    <row r="131" spans="13:13" x14ac:dyDescent="0.3">
      <c r="M131" s="68"/>
    </row>
    <row r="132" spans="13:13" x14ac:dyDescent="0.3">
      <c r="M132" s="68"/>
    </row>
    <row r="133" spans="13:13" x14ac:dyDescent="0.3">
      <c r="M133" s="68"/>
    </row>
    <row r="134" spans="13:13" x14ac:dyDescent="0.3">
      <c r="M134" s="68"/>
    </row>
    <row r="135" spans="13:13" x14ac:dyDescent="0.3">
      <c r="M135" s="68"/>
    </row>
    <row r="136" spans="13:13" x14ac:dyDescent="0.3">
      <c r="M136" s="68"/>
    </row>
    <row r="137" spans="13:13" x14ac:dyDescent="0.3">
      <c r="M137" s="68"/>
    </row>
    <row r="138" spans="13:13" x14ac:dyDescent="0.3">
      <c r="M138" s="68"/>
    </row>
    <row r="139" spans="13:13" x14ac:dyDescent="0.3">
      <c r="M139" s="68"/>
    </row>
    <row r="140" spans="13:13" x14ac:dyDescent="0.3">
      <c r="M140" s="68"/>
    </row>
    <row r="141" spans="13:13" x14ac:dyDescent="0.3">
      <c r="M141" s="68"/>
    </row>
    <row r="142" spans="13:13" x14ac:dyDescent="0.3">
      <c r="M142" s="68"/>
    </row>
    <row r="143" spans="13:13" x14ac:dyDescent="0.3">
      <c r="M143" s="68"/>
    </row>
    <row r="144" spans="13:13" x14ac:dyDescent="0.3">
      <c r="M144" s="68"/>
    </row>
    <row r="145" spans="13:13" x14ac:dyDescent="0.3">
      <c r="M145" s="68"/>
    </row>
    <row r="146" spans="13:13" x14ac:dyDescent="0.3">
      <c r="M146" s="68"/>
    </row>
    <row r="147" spans="13:13" x14ac:dyDescent="0.3">
      <c r="M147" s="68"/>
    </row>
    <row r="148" spans="13:13" x14ac:dyDescent="0.3">
      <c r="M148" s="68"/>
    </row>
    <row r="149" spans="13:13" x14ac:dyDescent="0.3">
      <c r="M149" s="68"/>
    </row>
    <row r="150" spans="13:13" x14ac:dyDescent="0.3">
      <c r="M150" s="68"/>
    </row>
    <row r="151" spans="13:13" x14ac:dyDescent="0.3">
      <c r="M151" s="68"/>
    </row>
    <row r="152" spans="13:13" x14ac:dyDescent="0.3">
      <c r="M152" s="68"/>
    </row>
    <row r="153" spans="13:13" x14ac:dyDescent="0.3">
      <c r="M153" s="68"/>
    </row>
    <row r="154" spans="13:13" x14ac:dyDescent="0.3">
      <c r="M154" s="68"/>
    </row>
    <row r="155" spans="13:13" x14ac:dyDescent="0.3">
      <c r="M155" s="68"/>
    </row>
    <row r="156" spans="13:13" x14ac:dyDescent="0.3">
      <c r="M156" s="68"/>
    </row>
    <row r="157" spans="13:13" x14ac:dyDescent="0.3">
      <c r="M157" s="68"/>
    </row>
    <row r="158" spans="13:13" x14ac:dyDescent="0.3">
      <c r="M158" s="68"/>
    </row>
    <row r="159" spans="13:13" x14ac:dyDescent="0.3">
      <c r="M159" s="68"/>
    </row>
    <row r="160" spans="13:13" x14ac:dyDescent="0.3">
      <c r="M160" s="68"/>
    </row>
    <row r="161" spans="13:13" x14ac:dyDescent="0.3">
      <c r="M161" s="68"/>
    </row>
    <row r="162" spans="13:13" x14ac:dyDescent="0.3">
      <c r="M162" s="68"/>
    </row>
    <row r="163" spans="13:13" x14ac:dyDescent="0.3">
      <c r="M163" s="68"/>
    </row>
    <row r="164" spans="13:13" x14ac:dyDescent="0.3">
      <c r="M164" s="68"/>
    </row>
    <row r="165" spans="13:13" x14ac:dyDescent="0.3">
      <c r="M165" s="68"/>
    </row>
    <row r="166" spans="13:13" x14ac:dyDescent="0.3">
      <c r="M166" s="68"/>
    </row>
    <row r="167" spans="13:13" x14ac:dyDescent="0.3">
      <c r="M167" s="68"/>
    </row>
    <row r="168" spans="13:13" x14ac:dyDescent="0.3">
      <c r="M168" s="68"/>
    </row>
    <row r="169" spans="13:13" x14ac:dyDescent="0.3">
      <c r="M169" s="68"/>
    </row>
    <row r="170" spans="13:13" x14ac:dyDescent="0.3">
      <c r="M170" s="68"/>
    </row>
    <row r="171" spans="13:13" x14ac:dyDescent="0.3">
      <c r="M171" s="68"/>
    </row>
    <row r="172" spans="13:13" x14ac:dyDescent="0.3">
      <c r="M172" s="68"/>
    </row>
    <row r="173" spans="13:13" x14ac:dyDescent="0.3">
      <c r="M173" s="68"/>
    </row>
    <row r="174" spans="13:13" x14ac:dyDescent="0.3">
      <c r="M174" s="68"/>
    </row>
    <row r="175" spans="13:13" x14ac:dyDescent="0.3">
      <c r="M175" s="68"/>
    </row>
    <row r="176" spans="13:13" x14ac:dyDescent="0.3">
      <c r="M176" s="68"/>
    </row>
    <row r="177" spans="13:13" x14ac:dyDescent="0.3">
      <c r="M177" s="68"/>
    </row>
    <row r="178" spans="13:13" x14ac:dyDescent="0.3">
      <c r="M178" s="68"/>
    </row>
    <row r="179" spans="13:13" x14ac:dyDescent="0.3">
      <c r="M179" s="68"/>
    </row>
    <row r="180" spans="13:13" x14ac:dyDescent="0.3">
      <c r="M180" s="68"/>
    </row>
    <row r="181" spans="13:13" x14ac:dyDescent="0.3">
      <c r="M181" s="68"/>
    </row>
    <row r="182" spans="13:13" x14ac:dyDescent="0.3">
      <c r="M182" s="68"/>
    </row>
    <row r="183" spans="13:13" x14ac:dyDescent="0.3">
      <c r="M183" s="68"/>
    </row>
    <row r="184" spans="13:13" x14ac:dyDescent="0.3">
      <c r="M184" s="68"/>
    </row>
    <row r="185" spans="13:13" x14ac:dyDescent="0.3">
      <c r="M185" s="68"/>
    </row>
    <row r="186" spans="13:13" x14ac:dyDescent="0.3">
      <c r="M186" s="68"/>
    </row>
    <row r="187" spans="13:13" x14ac:dyDescent="0.3">
      <c r="M187" s="68"/>
    </row>
    <row r="188" spans="13:13" x14ac:dyDescent="0.3">
      <c r="M188" s="68"/>
    </row>
    <row r="189" spans="13:13" x14ac:dyDescent="0.3">
      <c r="M189" s="68"/>
    </row>
    <row r="190" spans="13:13" x14ac:dyDescent="0.3">
      <c r="M190" s="68"/>
    </row>
    <row r="191" spans="13:13" x14ac:dyDescent="0.3">
      <c r="M191" s="68"/>
    </row>
    <row r="192" spans="13:13" x14ac:dyDescent="0.3">
      <c r="M192" s="68"/>
    </row>
    <row r="193" spans="13:13" x14ac:dyDescent="0.3">
      <c r="M193" s="68"/>
    </row>
    <row r="194" spans="13:13" x14ac:dyDescent="0.3">
      <c r="M194" s="68"/>
    </row>
    <row r="195" spans="13:13" x14ac:dyDescent="0.3">
      <c r="M195" s="68"/>
    </row>
    <row r="196" spans="13:13" x14ac:dyDescent="0.3">
      <c r="M196" s="68"/>
    </row>
    <row r="197" spans="13:13" x14ac:dyDescent="0.3">
      <c r="M197" s="68"/>
    </row>
    <row r="198" spans="13:13" x14ac:dyDescent="0.3">
      <c r="M198" s="68"/>
    </row>
    <row r="199" spans="13:13" x14ac:dyDescent="0.3">
      <c r="M199" s="68"/>
    </row>
    <row r="200" spans="13:13" x14ac:dyDescent="0.3">
      <c r="M200" s="68"/>
    </row>
    <row r="201" spans="13:13" x14ac:dyDescent="0.3">
      <c r="M201" s="68"/>
    </row>
    <row r="202" spans="13:13" x14ac:dyDescent="0.3">
      <c r="M202" s="68"/>
    </row>
    <row r="203" spans="13:13" x14ac:dyDescent="0.3">
      <c r="M203" s="68"/>
    </row>
    <row r="204" spans="13:13" x14ac:dyDescent="0.3">
      <c r="M204" s="68"/>
    </row>
    <row r="205" spans="13:13" x14ac:dyDescent="0.3">
      <c r="M205" s="68"/>
    </row>
    <row r="206" spans="13:13" x14ac:dyDescent="0.3">
      <c r="M206" s="68"/>
    </row>
    <row r="207" spans="13:13" x14ac:dyDescent="0.3">
      <c r="M207" s="68"/>
    </row>
    <row r="208" spans="13:13" x14ac:dyDescent="0.3">
      <c r="M208" s="68"/>
    </row>
    <row r="209" spans="13:13" x14ac:dyDescent="0.3">
      <c r="M209" s="68"/>
    </row>
    <row r="210" spans="13:13" x14ac:dyDescent="0.3">
      <c r="M210" s="68"/>
    </row>
    <row r="211" spans="13:13" x14ac:dyDescent="0.3">
      <c r="M211" s="68"/>
    </row>
    <row r="212" spans="13:13" x14ac:dyDescent="0.3">
      <c r="M212" s="68"/>
    </row>
    <row r="213" spans="13:13" x14ac:dyDescent="0.3">
      <c r="M213" s="68"/>
    </row>
    <row r="214" spans="13:13" x14ac:dyDescent="0.3">
      <c r="M214" s="68"/>
    </row>
    <row r="215" spans="13:13" x14ac:dyDescent="0.3">
      <c r="M215" s="68"/>
    </row>
    <row r="216" spans="13:13" x14ac:dyDescent="0.3">
      <c r="M216" s="68"/>
    </row>
    <row r="217" spans="13:13" x14ac:dyDescent="0.3">
      <c r="M217" s="68"/>
    </row>
    <row r="218" spans="13:13" x14ac:dyDescent="0.3">
      <c r="M218" s="68"/>
    </row>
    <row r="219" spans="13:13" x14ac:dyDescent="0.3">
      <c r="M219" s="68"/>
    </row>
    <row r="220" spans="13:13" x14ac:dyDescent="0.3">
      <c r="M220" s="68"/>
    </row>
    <row r="221" spans="13:13" x14ac:dyDescent="0.3">
      <c r="M221" s="68"/>
    </row>
    <row r="222" spans="13:13" x14ac:dyDescent="0.3">
      <c r="M222" s="68"/>
    </row>
    <row r="223" spans="13:13" x14ac:dyDescent="0.3">
      <c r="M223" s="68"/>
    </row>
    <row r="224" spans="13:13" x14ac:dyDescent="0.3">
      <c r="M224" s="68"/>
    </row>
    <row r="225" spans="13:13" x14ac:dyDescent="0.3">
      <c r="M225" s="68"/>
    </row>
    <row r="226" spans="13:13" x14ac:dyDescent="0.3">
      <c r="M226" s="68"/>
    </row>
    <row r="227" spans="13:13" x14ac:dyDescent="0.3">
      <c r="M227" s="68"/>
    </row>
    <row r="228" spans="13:13" x14ac:dyDescent="0.3">
      <c r="M228" s="68"/>
    </row>
    <row r="229" spans="13:13" x14ac:dyDescent="0.3">
      <c r="M229" s="68"/>
    </row>
    <row r="230" spans="13:13" x14ac:dyDescent="0.3">
      <c r="M230" s="68"/>
    </row>
    <row r="231" spans="13:13" x14ac:dyDescent="0.3">
      <c r="M231" s="68"/>
    </row>
    <row r="232" spans="13:13" x14ac:dyDescent="0.3">
      <c r="M232" s="68"/>
    </row>
    <row r="233" spans="13:13" x14ac:dyDescent="0.3">
      <c r="M233" s="68"/>
    </row>
    <row r="234" spans="13:13" x14ac:dyDescent="0.3">
      <c r="M234" s="68"/>
    </row>
    <row r="235" spans="13:13" x14ac:dyDescent="0.3">
      <c r="M235" s="68"/>
    </row>
    <row r="236" spans="13:13" x14ac:dyDescent="0.3">
      <c r="M236" s="68"/>
    </row>
    <row r="237" spans="13:13" x14ac:dyDescent="0.3">
      <c r="M237" s="68"/>
    </row>
    <row r="238" spans="13:13" x14ac:dyDescent="0.3">
      <c r="M238" s="68"/>
    </row>
    <row r="239" spans="13:13" x14ac:dyDescent="0.3">
      <c r="M239" s="68"/>
    </row>
    <row r="240" spans="13:13" x14ac:dyDescent="0.3">
      <c r="M240" s="68"/>
    </row>
    <row r="241" spans="13:13" x14ac:dyDescent="0.3">
      <c r="M241" s="68"/>
    </row>
    <row r="242" spans="13:13" x14ac:dyDescent="0.3">
      <c r="M242" s="68"/>
    </row>
    <row r="243" spans="13:13" x14ac:dyDescent="0.3">
      <c r="M243" s="68"/>
    </row>
    <row r="244" spans="13:13" x14ac:dyDescent="0.3">
      <c r="M244" s="68"/>
    </row>
    <row r="245" spans="13:13" x14ac:dyDescent="0.3">
      <c r="M245" s="68"/>
    </row>
    <row r="246" spans="13:13" x14ac:dyDescent="0.3">
      <c r="M246" s="68"/>
    </row>
    <row r="247" spans="13:13" x14ac:dyDescent="0.3">
      <c r="M247" s="68"/>
    </row>
    <row r="248" spans="13:13" x14ac:dyDescent="0.3">
      <c r="M248" s="68"/>
    </row>
    <row r="249" spans="13:13" x14ac:dyDescent="0.3">
      <c r="M249" s="68"/>
    </row>
    <row r="250" spans="13:13" x14ac:dyDescent="0.3">
      <c r="M250" s="68"/>
    </row>
    <row r="251" spans="13:13" x14ac:dyDescent="0.3">
      <c r="M251" s="68"/>
    </row>
    <row r="252" spans="13:13" x14ac:dyDescent="0.3">
      <c r="M252" s="68"/>
    </row>
    <row r="253" spans="13:13" x14ac:dyDescent="0.3">
      <c r="M253" s="68"/>
    </row>
    <row r="254" spans="13:13" x14ac:dyDescent="0.3">
      <c r="M254" s="68"/>
    </row>
    <row r="255" spans="13:13" x14ac:dyDescent="0.3">
      <c r="M255" s="68"/>
    </row>
    <row r="256" spans="13:13" x14ac:dyDescent="0.3">
      <c r="M256" s="68"/>
    </row>
    <row r="257" spans="13:13" x14ac:dyDescent="0.3">
      <c r="M257" s="68"/>
    </row>
    <row r="258" spans="13:13" x14ac:dyDescent="0.3">
      <c r="M258" s="68"/>
    </row>
    <row r="259" spans="13:13" x14ac:dyDescent="0.3">
      <c r="M259" s="68"/>
    </row>
    <row r="260" spans="13:13" x14ac:dyDescent="0.3">
      <c r="M260" s="68"/>
    </row>
    <row r="261" spans="13:13" x14ac:dyDescent="0.3">
      <c r="M261" s="68"/>
    </row>
    <row r="262" spans="13:13" x14ac:dyDescent="0.3">
      <c r="M262" s="68"/>
    </row>
    <row r="263" spans="13:13" x14ac:dyDescent="0.3">
      <c r="M263" s="68"/>
    </row>
    <row r="264" spans="13:13" x14ac:dyDescent="0.3">
      <c r="M264" s="68"/>
    </row>
    <row r="265" spans="13:13" x14ac:dyDescent="0.3">
      <c r="M265" s="68"/>
    </row>
    <row r="266" spans="13:13" x14ac:dyDescent="0.3">
      <c r="M266" s="68"/>
    </row>
    <row r="267" spans="13:13" x14ac:dyDescent="0.3">
      <c r="M267" s="68"/>
    </row>
    <row r="268" spans="13:13" x14ac:dyDescent="0.3">
      <c r="M268" s="68"/>
    </row>
    <row r="269" spans="13:13" x14ac:dyDescent="0.3">
      <c r="M269" s="68"/>
    </row>
    <row r="270" spans="13:13" x14ac:dyDescent="0.3">
      <c r="M270" s="68"/>
    </row>
    <row r="271" spans="13:13" x14ac:dyDescent="0.3">
      <c r="M271" s="68"/>
    </row>
    <row r="272" spans="13:13" x14ac:dyDescent="0.3">
      <c r="M272" s="68"/>
    </row>
    <row r="273" spans="13:13" x14ac:dyDescent="0.3">
      <c r="M273" s="68"/>
    </row>
    <row r="274" spans="13:13" x14ac:dyDescent="0.3">
      <c r="M274" s="68"/>
    </row>
    <row r="275" spans="13:13" x14ac:dyDescent="0.3">
      <c r="M275" s="68"/>
    </row>
    <row r="276" spans="13:13" x14ac:dyDescent="0.3">
      <c r="M276" s="68"/>
    </row>
    <row r="277" spans="13:13" x14ac:dyDescent="0.3">
      <c r="M277" s="68"/>
    </row>
    <row r="278" spans="13:13" x14ac:dyDescent="0.3">
      <c r="M278" s="68"/>
    </row>
    <row r="279" spans="13:13" x14ac:dyDescent="0.3">
      <c r="M279" s="68"/>
    </row>
    <row r="280" spans="13:13" x14ac:dyDescent="0.3">
      <c r="M280" s="68"/>
    </row>
    <row r="281" spans="13:13" x14ac:dyDescent="0.3">
      <c r="M281" s="68"/>
    </row>
    <row r="282" spans="13:13" x14ac:dyDescent="0.3">
      <c r="M282" s="68"/>
    </row>
    <row r="283" spans="13:13" x14ac:dyDescent="0.3">
      <c r="M283" s="68"/>
    </row>
    <row r="284" spans="13:13" x14ac:dyDescent="0.3">
      <c r="M284" s="68"/>
    </row>
    <row r="285" spans="13:13" x14ac:dyDescent="0.3">
      <c r="M285" s="68"/>
    </row>
    <row r="286" spans="13:13" x14ac:dyDescent="0.3">
      <c r="M286" s="68"/>
    </row>
    <row r="287" spans="13:13" x14ac:dyDescent="0.3">
      <c r="M287" s="68"/>
    </row>
    <row r="288" spans="13:13" x14ac:dyDescent="0.3">
      <c r="M288" s="68"/>
    </row>
    <row r="289" spans="13:13" x14ac:dyDescent="0.3">
      <c r="M289" s="68"/>
    </row>
    <row r="290" spans="13:13" x14ac:dyDescent="0.3">
      <c r="M290" s="68"/>
    </row>
    <row r="291" spans="13:13" x14ac:dyDescent="0.3">
      <c r="M291" s="68"/>
    </row>
    <row r="292" spans="13:13" x14ac:dyDescent="0.3">
      <c r="M292" s="68"/>
    </row>
    <row r="293" spans="13:13" x14ac:dyDescent="0.3">
      <c r="M293" s="68"/>
    </row>
    <row r="294" spans="13:13" x14ac:dyDescent="0.3">
      <c r="M294" s="68"/>
    </row>
    <row r="295" spans="13:13" x14ac:dyDescent="0.3">
      <c r="M295" s="68"/>
    </row>
    <row r="296" spans="13:13" x14ac:dyDescent="0.3">
      <c r="M296" s="68"/>
    </row>
    <row r="297" spans="13:13" x14ac:dyDescent="0.3">
      <c r="M297" s="68"/>
    </row>
    <row r="298" spans="13:13" x14ac:dyDescent="0.3">
      <c r="M298" s="68"/>
    </row>
    <row r="299" spans="13:13" x14ac:dyDescent="0.3">
      <c r="M299" s="68"/>
    </row>
    <row r="300" spans="13:13" x14ac:dyDescent="0.3">
      <c r="M300" s="68"/>
    </row>
    <row r="301" spans="13:13" x14ac:dyDescent="0.3">
      <c r="M301" s="68"/>
    </row>
    <row r="302" spans="13:13" x14ac:dyDescent="0.3">
      <c r="M302" s="68"/>
    </row>
    <row r="303" spans="13:13" x14ac:dyDescent="0.3">
      <c r="M303" s="68"/>
    </row>
    <row r="304" spans="13:13" x14ac:dyDescent="0.3">
      <c r="M304" s="68"/>
    </row>
    <row r="305" spans="13:13" x14ac:dyDescent="0.3">
      <c r="M305" s="68"/>
    </row>
    <row r="306" spans="13:13" x14ac:dyDescent="0.3">
      <c r="M306" s="68"/>
    </row>
    <row r="307" spans="13:13" x14ac:dyDescent="0.3">
      <c r="M307" s="68"/>
    </row>
    <row r="308" spans="13:13" x14ac:dyDescent="0.3">
      <c r="M308" s="68"/>
    </row>
    <row r="309" spans="13:13" x14ac:dyDescent="0.3">
      <c r="M309" s="68"/>
    </row>
    <row r="310" spans="13:13" x14ac:dyDescent="0.3">
      <c r="M310" s="68"/>
    </row>
    <row r="311" spans="13:13" x14ac:dyDescent="0.3">
      <c r="M311" s="68"/>
    </row>
    <row r="312" spans="13:13" x14ac:dyDescent="0.3">
      <c r="M312" s="68"/>
    </row>
    <row r="313" spans="13:13" x14ac:dyDescent="0.3">
      <c r="M313" s="68"/>
    </row>
    <row r="314" spans="13:13" x14ac:dyDescent="0.3">
      <c r="M314" s="68"/>
    </row>
    <row r="315" spans="13:13" x14ac:dyDescent="0.3">
      <c r="M315" s="68"/>
    </row>
    <row r="316" spans="13:13" x14ac:dyDescent="0.3">
      <c r="M316" s="68"/>
    </row>
    <row r="317" spans="13:13" x14ac:dyDescent="0.3">
      <c r="M317" s="68"/>
    </row>
    <row r="318" spans="13:13" x14ac:dyDescent="0.3">
      <c r="M318" s="68"/>
    </row>
    <row r="319" spans="13:13" x14ac:dyDescent="0.3">
      <c r="M319" s="68"/>
    </row>
    <row r="320" spans="13:13" x14ac:dyDescent="0.3">
      <c r="M320" s="68"/>
    </row>
    <row r="321" spans="13:13" x14ac:dyDescent="0.3">
      <c r="M321" s="68"/>
    </row>
    <row r="322" spans="13:13" x14ac:dyDescent="0.3">
      <c r="M322" s="68"/>
    </row>
    <row r="323" spans="13:13" x14ac:dyDescent="0.3">
      <c r="M323" s="68"/>
    </row>
    <row r="324" spans="13:13" x14ac:dyDescent="0.3">
      <c r="M324" s="68"/>
    </row>
    <row r="325" spans="13:13" x14ac:dyDescent="0.3">
      <c r="M325" s="68"/>
    </row>
    <row r="326" spans="13:13" x14ac:dyDescent="0.3">
      <c r="M326" s="68"/>
    </row>
    <row r="327" spans="13:13" x14ac:dyDescent="0.3">
      <c r="M327" s="68"/>
    </row>
    <row r="328" spans="13:13" x14ac:dyDescent="0.3">
      <c r="M328" s="68"/>
    </row>
    <row r="329" spans="13:13" x14ac:dyDescent="0.3">
      <c r="M329" s="68"/>
    </row>
    <row r="330" spans="13:13" x14ac:dyDescent="0.3">
      <c r="M330" s="68"/>
    </row>
    <row r="331" spans="13:13" x14ac:dyDescent="0.3">
      <c r="M331" s="68"/>
    </row>
    <row r="332" spans="13:13" x14ac:dyDescent="0.3">
      <c r="M332" s="68"/>
    </row>
    <row r="333" spans="13:13" x14ac:dyDescent="0.3">
      <c r="M333" s="68"/>
    </row>
    <row r="334" spans="13:13" x14ac:dyDescent="0.3">
      <c r="M334" s="68"/>
    </row>
    <row r="335" spans="13:13" x14ac:dyDescent="0.3">
      <c r="M335" s="68"/>
    </row>
    <row r="336" spans="13:13" x14ac:dyDescent="0.3">
      <c r="M336" s="68"/>
    </row>
    <row r="337" spans="13:13" x14ac:dyDescent="0.3">
      <c r="M337" s="68"/>
    </row>
    <row r="338" spans="13:13" x14ac:dyDescent="0.3">
      <c r="M338" s="68"/>
    </row>
    <row r="339" spans="13:13" x14ac:dyDescent="0.3">
      <c r="M339" s="68"/>
    </row>
    <row r="340" spans="13:13" x14ac:dyDescent="0.3">
      <c r="M340" s="68"/>
    </row>
    <row r="341" spans="13:13" x14ac:dyDescent="0.3">
      <c r="M341" s="68"/>
    </row>
    <row r="342" spans="13:13" x14ac:dyDescent="0.3">
      <c r="M342" s="68"/>
    </row>
    <row r="343" spans="13:13" x14ac:dyDescent="0.3">
      <c r="M343" s="68"/>
    </row>
    <row r="344" spans="13:13" x14ac:dyDescent="0.3">
      <c r="M344" s="68"/>
    </row>
    <row r="345" spans="13:13" x14ac:dyDescent="0.3">
      <c r="M345" s="68"/>
    </row>
    <row r="346" spans="13:13" x14ac:dyDescent="0.3">
      <c r="M346" s="68"/>
    </row>
    <row r="347" spans="13:13" x14ac:dyDescent="0.3">
      <c r="M347" s="68"/>
    </row>
    <row r="348" spans="13:13" x14ac:dyDescent="0.3">
      <c r="M348" s="68"/>
    </row>
    <row r="349" spans="13:13" x14ac:dyDescent="0.3">
      <c r="M349" s="68"/>
    </row>
    <row r="350" spans="13:13" x14ac:dyDescent="0.3">
      <c r="M350" s="68"/>
    </row>
    <row r="351" spans="13:13" x14ac:dyDescent="0.3">
      <c r="M351" s="68"/>
    </row>
    <row r="352" spans="13:13" x14ac:dyDescent="0.3">
      <c r="M352" s="68"/>
    </row>
    <row r="353" spans="13:13" x14ac:dyDescent="0.3">
      <c r="M353" s="68"/>
    </row>
    <row r="354" spans="13:13" x14ac:dyDescent="0.3">
      <c r="M354" s="68"/>
    </row>
    <row r="355" spans="13:13" x14ac:dyDescent="0.3">
      <c r="M355" s="68"/>
    </row>
    <row r="356" spans="13:13" x14ac:dyDescent="0.3">
      <c r="M356" s="68"/>
    </row>
    <row r="357" spans="13:13" x14ac:dyDescent="0.3">
      <c r="M357" s="68"/>
    </row>
    <row r="358" spans="13:13" x14ac:dyDescent="0.3">
      <c r="M358" s="68"/>
    </row>
    <row r="359" spans="13:13" x14ac:dyDescent="0.3">
      <c r="M359" s="68"/>
    </row>
    <row r="360" spans="13:13" x14ac:dyDescent="0.3">
      <c r="M360" s="68"/>
    </row>
    <row r="361" spans="13:13" x14ac:dyDescent="0.3">
      <c r="M361" s="68"/>
    </row>
    <row r="362" spans="13:13" x14ac:dyDescent="0.3">
      <c r="M362" s="68"/>
    </row>
    <row r="363" spans="13:13" x14ac:dyDescent="0.3">
      <c r="M363" s="68"/>
    </row>
    <row r="364" spans="13:13" x14ac:dyDescent="0.3">
      <c r="M364" s="68"/>
    </row>
    <row r="365" spans="13:13" x14ac:dyDescent="0.3">
      <c r="M365" s="68"/>
    </row>
    <row r="366" spans="13:13" x14ac:dyDescent="0.3">
      <c r="M366" s="68"/>
    </row>
    <row r="367" spans="13:13" x14ac:dyDescent="0.3">
      <c r="M367" s="68"/>
    </row>
    <row r="368" spans="13:13" x14ac:dyDescent="0.3">
      <c r="M368" s="68"/>
    </row>
    <row r="369" spans="13:13" x14ac:dyDescent="0.3">
      <c r="M369" s="68"/>
    </row>
    <row r="370" spans="13:13" x14ac:dyDescent="0.3">
      <c r="M370" s="68"/>
    </row>
    <row r="371" spans="13:13" x14ac:dyDescent="0.3">
      <c r="M371" s="68"/>
    </row>
    <row r="372" spans="13:13" x14ac:dyDescent="0.3">
      <c r="M372" s="68"/>
    </row>
    <row r="373" spans="13:13" x14ac:dyDescent="0.3">
      <c r="M373" s="68"/>
    </row>
    <row r="374" spans="13:13" x14ac:dyDescent="0.3">
      <c r="M374" s="68"/>
    </row>
    <row r="375" spans="13:13" x14ac:dyDescent="0.3">
      <c r="M375" s="68"/>
    </row>
    <row r="376" spans="13:13" x14ac:dyDescent="0.3">
      <c r="M376" s="68"/>
    </row>
    <row r="377" spans="13:13" x14ac:dyDescent="0.3">
      <c r="M377" s="68"/>
    </row>
    <row r="378" spans="13:13" x14ac:dyDescent="0.3">
      <c r="M378" s="68"/>
    </row>
    <row r="379" spans="13:13" x14ac:dyDescent="0.3">
      <c r="M379" s="68"/>
    </row>
    <row r="380" spans="13:13" x14ac:dyDescent="0.3">
      <c r="M380" s="68"/>
    </row>
    <row r="381" spans="13:13" x14ac:dyDescent="0.3">
      <c r="M381" s="68"/>
    </row>
    <row r="382" spans="13:13" x14ac:dyDescent="0.3">
      <c r="M382" s="68"/>
    </row>
    <row r="383" spans="13:13" x14ac:dyDescent="0.3">
      <c r="M383" s="68"/>
    </row>
    <row r="384" spans="13:13" x14ac:dyDescent="0.3">
      <c r="M384" s="68"/>
    </row>
    <row r="385" spans="13:13" x14ac:dyDescent="0.3">
      <c r="M385" s="68"/>
    </row>
    <row r="386" spans="13:13" x14ac:dyDescent="0.3">
      <c r="M386" s="68"/>
    </row>
    <row r="387" spans="13:13" x14ac:dyDescent="0.3">
      <c r="M387" s="68"/>
    </row>
    <row r="388" spans="13:13" x14ac:dyDescent="0.3">
      <c r="M388" s="68"/>
    </row>
    <row r="389" spans="13:13" x14ac:dyDescent="0.3">
      <c r="M389" s="68"/>
    </row>
    <row r="390" spans="13:13" x14ac:dyDescent="0.3">
      <c r="M390" s="68"/>
    </row>
    <row r="391" spans="13:13" x14ac:dyDescent="0.3">
      <c r="M391" s="68"/>
    </row>
    <row r="392" spans="13:13" x14ac:dyDescent="0.3">
      <c r="M392" s="68"/>
    </row>
    <row r="393" spans="13:13" x14ac:dyDescent="0.3">
      <c r="M393" s="68"/>
    </row>
    <row r="394" spans="13:13" x14ac:dyDescent="0.3">
      <c r="M394" s="68"/>
    </row>
    <row r="395" spans="13:13" x14ac:dyDescent="0.3">
      <c r="M395" s="68"/>
    </row>
    <row r="396" spans="13:13" x14ac:dyDescent="0.3">
      <c r="M396" s="68"/>
    </row>
    <row r="397" spans="13:13" x14ac:dyDescent="0.3">
      <c r="M397" s="68"/>
    </row>
    <row r="398" spans="13:13" x14ac:dyDescent="0.3">
      <c r="M398" s="68"/>
    </row>
    <row r="399" spans="13:13" x14ac:dyDescent="0.3">
      <c r="M399" s="68"/>
    </row>
    <row r="400" spans="13:13" x14ac:dyDescent="0.3">
      <c r="M400" s="68"/>
    </row>
    <row r="401" spans="13:13" x14ac:dyDescent="0.3">
      <c r="M401" s="68"/>
    </row>
    <row r="402" spans="13:13" x14ac:dyDescent="0.3">
      <c r="M402" s="68"/>
    </row>
    <row r="403" spans="13:13" x14ac:dyDescent="0.3">
      <c r="M403" s="68"/>
    </row>
    <row r="404" spans="13:13" x14ac:dyDescent="0.3">
      <c r="M404" s="68"/>
    </row>
    <row r="405" spans="13:13" x14ac:dyDescent="0.3">
      <c r="M405" s="68"/>
    </row>
    <row r="406" spans="13:13" x14ac:dyDescent="0.3">
      <c r="M406" s="68"/>
    </row>
    <row r="407" spans="13:13" x14ac:dyDescent="0.3">
      <c r="M407" s="68"/>
    </row>
    <row r="408" spans="13:13" x14ac:dyDescent="0.3">
      <c r="M408" s="68"/>
    </row>
    <row r="409" spans="13:13" x14ac:dyDescent="0.3">
      <c r="M409" s="68"/>
    </row>
    <row r="410" spans="13:13" x14ac:dyDescent="0.3">
      <c r="M410" s="68"/>
    </row>
    <row r="411" spans="13:13" x14ac:dyDescent="0.3">
      <c r="M411" s="68"/>
    </row>
    <row r="412" spans="13:13" x14ac:dyDescent="0.3">
      <c r="M412" s="68"/>
    </row>
    <row r="413" spans="13:13" x14ac:dyDescent="0.3">
      <c r="M413" s="68"/>
    </row>
    <row r="414" spans="13:13" x14ac:dyDescent="0.3">
      <c r="M414" s="68"/>
    </row>
    <row r="415" spans="13:13" x14ac:dyDescent="0.3">
      <c r="M415" s="68"/>
    </row>
    <row r="416" spans="13:13" x14ac:dyDescent="0.3">
      <c r="M416" s="68"/>
    </row>
    <row r="417" spans="13:13" x14ac:dyDescent="0.3">
      <c r="M417" s="68"/>
    </row>
    <row r="418" spans="13:13" x14ac:dyDescent="0.3">
      <c r="M418" s="68"/>
    </row>
    <row r="419" spans="13:13" x14ac:dyDescent="0.3">
      <c r="M419" s="68"/>
    </row>
    <row r="420" spans="13:13" x14ac:dyDescent="0.3">
      <c r="M420" s="68"/>
    </row>
    <row r="421" spans="13:13" x14ac:dyDescent="0.3">
      <c r="M421" s="68"/>
    </row>
    <row r="422" spans="13:13" x14ac:dyDescent="0.3">
      <c r="M422" s="68"/>
    </row>
    <row r="423" spans="13:13" x14ac:dyDescent="0.3">
      <c r="M423" s="68"/>
    </row>
    <row r="424" spans="13:13" x14ac:dyDescent="0.3">
      <c r="M424" s="68"/>
    </row>
    <row r="425" spans="13:13" x14ac:dyDescent="0.3">
      <c r="M425" s="68"/>
    </row>
    <row r="426" spans="13:13" x14ac:dyDescent="0.3">
      <c r="M426" s="68"/>
    </row>
    <row r="427" spans="13:13" x14ac:dyDescent="0.3">
      <c r="M427" s="68"/>
    </row>
    <row r="428" spans="13:13" x14ac:dyDescent="0.3">
      <c r="M428" s="68"/>
    </row>
    <row r="429" spans="13:13" x14ac:dyDescent="0.3">
      <c r="M429" s="68"/>
    </row>
    <row r="430" spans="13:13" x14ac:dyDescent="0.3">
      <c r="M430" s="68"/>
    </row>
    <row r="431" spans="13:13" x14ac:dyDescent="0.3">
      <c r="M431" s="68"/>
    </row>
    <row r="432" spans="13:13" x14ac:dyDescent="0.3">
      <c r="M432" s="68"/>
    </row>
    <row r="433" spans="13:13" x14ac:dyDescent="0.3">
      <c r="M433" s="68"/>
    </row>
    <row r="434" spans="13:13" x14ac:dyDescent="0.3">
      <c r="M434" s="68"/>
    </row>
    <row r="435" spans="13:13" x14ac:dyDescent="0.3">
      <c r="M435" s="68"/>
    </row>
    <row r="436" spans="13:13" x14ac:dyDescent="0.3">
      <c r="M436" s="68"/>
    </row>
    <row r="437" spans="13:13" x14ac:dyDescent="0.3">
      <c r="M437" s="68"/>
    </row>
    <row r="438" spans="13:13" x14ac:dyDescent="0.3">
      <c r="M438" s="68"/>
    </row>
    <row r="439" spans="13:13" x14ac:dyDescent="0.3">
      <c r="M439" s="68"/>
    </row>
    <row r="440" spans="13:13" x14ac:dyDescent="0.3">
      <c r="M440" s="68"/>
    </row>
    <row r="441" spans="13:13" x14ac:dyDescent="0.3">
      <c r="M441" s="68"/>
    </row>
    <row r="442" spans="13:13" x14ac:dyDescent="0.3">
      <c r="M442" s="68"/>
    </row>
    <row r="443" spans="13:13" x14ac:dyDescent="0.3">
      <c r="M443" s="68"/>
    </row>
    <row r="444" spans="13:13" x14ac:dyDescent="0.3">
      <c r="M444" s="68"/>
    </row>
    <row r="445" spans="13:13" x14ac:dyDescent="0.3">
      <c r="M445" s="68"/>
    </row>
    <row r="446" spans="13:13" x14ac:dyDescent="0.3">
      <c r="M446" s="68"/>
    </row>
    <row r="447" spans="13:13" x14ac:dyDescent="0.3">
      <c r="M447" s="68"/>
    </row>
    <row r="448" spans="13:13" x14ac:dyDescent="0.3">
      <c r="M448" s="68"/>
    </row>
    <row r="449" spans="13:13" x14ac:dyDescent="0.3">
      <c r="M449" s="68"/>
    </row>
    <row r="450" spans="13:13" x14ac:dyDescent="0.3">
      <c r="M450" s="68"/>
    </row>
    <row r="451" spans="13:13" x14ac:dyDescent="0.3">
      <c r="M451" s="68"/>
    </row>
    <row r="452" spans="13:13" x14ac:dyDescent="0.3">
      <c r="M452" s="68"/>
    </row>
    <row r="453" spans="13:13" x14ac:dyDescent="0.3">
      <c r="M453" s="68"/>
    </row>
    <row r="454" spans="13:13" x14ac:dyDescent="0.3">
      <c r="M454" s="68"/>
    </row>
    <row r="455" spans="13:13" x14ac:dyDescent="0.3">
      <c r="M455" s="68"/>
    </row>
    <row r="456" spans="13:13" x14ac:dyDescent="0.3">
      <c r="M456" s="68"/>
    </row>
    <row r="457" spans="13:13" x14ac:dyDescent="0.3">
      <c r="M457" s="68"/>
    </row>
    <row r="458" spans="13:13" x14ac:dyDescent="0.3">
      <c r="M458" s="68"/>
    </row>
    <row r="459" spans="13:13" x14ac:dyDescent="0.3">
      <c r="M459" s="68"/>
    </row>
    <row r="460" spans="13:13" x14ac:dyDescent="0.3">
      <c r="M460" s="68"/>
    </row>
    <row r="461" spans="13:13" x14ac:dyDescent="0.3">
      <c r="M461" s="68"/>
    </row>
    <row r="462" spans="13:13" x14ac:dyDescent="0.3">
      <c r="M462" s="68"/>
    </row>
    <row r="463" spans="13:13" x14ac:dyDescent="0.3">
      <c r="M463" s="68"/>
    </row>
    <row r="464" spans="13:13" x14ac:dyDescent="0.3">
      <c r="M464" s="68"/>
    </row>
    <row r="465" spans="13:13" x14ac:dyDescent="0.3">
      <c r="M465" s="68"/>
    </row>
    <row r="466" spans="13:13" x14ac:dyDescent="0.3">
      <c r="M466" s="68"/>
    </row>
    <row r="467" spans="13:13" x14ac:dyDescent="0.3">
      <c r="M467" s="68"/>
    </row>
    <row r="468" spans="13:13" x14ac:dyDescent="0.3">
      <c r="M468" s="68"/>
    </row>
    <row r="469" spans="13:13" x14ac:dyDescent="0.3">
      <c r="M469" s="68"/>
    </row>
    <row r="470" spans="13:13" x14ac:dyDescent="0.3">
      <c r="M470" s="68"/>
    </row>
    <row r="471" spans="13:13" x14ac:dyDescent="0.3">
      <c r="M471" s="68"/>
    </row>
    <row r="472" spans="13:13" x14ac:dyDescent="0.3">
      <c r="M472" s="68"/>
    </row>
    <row r="473" spans="13:13" x14ac:dyDescent="0.3">
      <c r="M473" s="68"/>
    </row>
    <row r="474" spans="13:13" x14ac:dyDescent="0.3">
      <c r="M474" s="68"/>
    </row>
    <row r="475" spans="13:13" x14ac:dyDescent="0.3">
      <c r="M475" s="68"/>
    </row>
    <row r="476" spans="13:13" x14ac:dyDescent="0.3">
      <c r="M476" s="68"/>
    </row>
    <row r="477" spans="13:13" x14ac:dyDescent="0.3">
      <c r="M477" s="68"/>
    </row>
    <row r="478" spans="13:13" x14ac:dyDescent="0.3">
      <c r="M478" s="68"/>
    </row>
    <row r="479" spans="13:13" x14ac:dyDescent="0.3">
      <c r="M479" s="68"/>
    </row>
    <row r="480" spans="13:13" x14ac:dyDescent="0.3">
      <c r="M480" s="68"/>
    </row>
    <row r="481" spans="13:13" x14ac:dyDescent="0.3">
      <c r="M481" s="68"/>
    </row>
    <row r="482" spans="13:13" x14ac:dyDescent="0.3">
      <c r="M482" s="68"/>
    </row>
    <row r="483" spans="13:13" x14ac:dyDescent="0.3">
      <c r="M483" s="68"/>
    </row>
    <row r="484" spans="13:13" x14ac:dyDescent="0.3">
      <c r="M484" s="68"/>
    </row>
    <row r="485" spans="13:13" x14ac:dyDescent="0.3">
      <c r="M485" s="68"/>
    </row>
    <row r="486" spans="13:13" x14ac:dyDescent="0.3">
      <c r="M486" s="68"/>
    </row>
    <row r="487" spans="13:13" x14ac:dyDescent="0.3">
      <c r="M487" s="68"/>
    </row>
    <row r="488" spans="13:13" x14ac:dyDescent="0.3">
      <c r="M488" s="68"/>
    </row>
    <row r="489" spans="13:13" x14ac:dyDescent="0.3">
      <c r="M489" s="68"/>
    </row>
    <row r="490" spans="13:13" x14ac:dyDescent="0.3">
      <c r="M490" s="68"/>
    </row>
    <row r="491" spans="13:13" x14ac:dyDescent="0.3">
      <c r="M491" s="68"/>
    </row>
    <row r="492" spans="13:13" x14ac:dyDescent="0.3">
      <c r="M492" s="68"/>
    </row>
    <row r="493" spans="13:13" x14ac:dyDescent="0.3">
      <c r="M493" s="68"/>
    </row>
    <row r="494" spans="13:13" x14ac:dyDescent="0.3">
      <c r="M494" s="68"/>
    </row>
    <row r="495" spans="13:13" x14ac:dyDescent="0.3">
      <c r="M495" s="68"/>
    </row>
    <row r="496" spans="13:13" x14ac:dyDescent="0.3">
      <c r="M496" s="68"/>
    </row>
    <row r="497" spans="13:13" x14ac:dyDescent="0.3">
      <c r="M497" s="68"/>
    </row>
    <row r="498" spans="13:13" x14ac:dyDescent="0.3">
      <c r="M498" s="68"/>
    </row>
    <row r="499" spans="13:13" x14ac:dyDescent="0.3">
      <c r="M499" s="68"/>
    </row>
    <row r="500" spans="13:13" x14ac:dyDescent="0.3">
      <c r="M500" s="68"/>
    </row>
    <row r="501" spans="13:13" x14ac:dyDescent="0.3">
      <c r="M501" s="68"/>
    </row>
    <row r="502" spans="13:13" x14ac:dyDescent="0.3">
      <c r="M502" s="68"/>
    </row>
    <row r="503" spans="13:13" x14ac:dyDescent="0.3">
      <c r="M503" s="68"/>
    </row>
    <row r="504" spans="13:13" x14ac:dyDescent="0.3">
      <c r="M504" s="68"/>
    </row>
    <row r="505" spans="13:13" x14ac:dyDescent="0.3">
      <c r="M505" s="68"/>
    </row>
    <row r="506" spans="13:13" x14ac:dyDescent="0.3">
      <c r="M506" s="68"/>
    </row>
    <row r="507" spans="13:13" x14ac:dyDescent="0.3">
      <c r="M507" s="68"/>
    </row>
    <row r="508" spans="13:13" x14ac:dyDescent="0.3">
      <c r="M508" s="68"/>
    </row>
    <row r="509" spans="13:13" x14ac:dyDescent="0.3">
      <c r="M509" s="68"/>
    </row>
    <row r="510" spans="13:13" x14ac:dyDescent="0.3">
      <c r="M510" s="68"/>
    </row>
    <row r="511" spans="13:13" x14ac:dyDescent="0.3">
      <c r="M511" s="68"/>
    </row>
    <row r="512" spans="13:13" x14ac:dyDescent="0.3">
      <c r="M512" s="68"/>
    </row>
    <row r="513" spans="13:13" x14ac:dyDescent="0.3">
      <c r="M513" s="68"/>
    </row>
    <row r="514" spans="13:13" x14ac:dyDescent="0.3">
      <c r="M514" s="68"/>
    </row>
    <row r="515" spans="13:13" x14ac:dyDescent="0.3">
      <c r="M515" s="68"/>
    </row>
    <row r="516" spans="13:13" x14ac:dyDescent="0.3">
      <c r="M516" s="68"/>
    </row>
    <row r="517" spans="13:13" x14ac:dyDescent="0.3">
      <c r="M517" s="68"/>
    </row>
    <row r="518" spans="13:13" x14ac:dyDescent="0.3">
      <c r="M518" s="68"/>
    </row>
    <row r="519" spans="13:13" x14ac:dyDescent="0.3">
      <c r="M519" s="68"/>
    </row>
    <row r="520" spans="13:13" x14ac:dyDescent="0.3">
      <c r="M520" s="68"/>
    </row>
    <row r="521" spans="13:13" x14ac:dyDescent="0.3">
      <c r="M521" s="68"/>
    </row>
    <row r="522" spans="13:13" x14ac:dyDescent="0.3">
      <c r="M522" s="68"/>
    </row>
    <row r="523" spans="13:13" x14ac:dyDescent="0.3">
      <c r="M523" s="68"/>
    </row>
    <row r="524" spans="13:13" x14ac:dyDescent="0.3">
      <c r="M524" s="68"/>
    </row>
    <row r="525" spans="13:13" x14ac:dyDescent="0.3">
      <c r="M525" s="68"/>
    </row>
    <row r="526" spans="13:13" x14ac:dyDescent="0.3">
      <c r="M526" s="68"/>
    </row>
    <row r="527" spans="13:13" x14ac:dyDescent="0.3">
      <c r="M527" s="68"/>
    </row>
    <row r="528" spans="13:13" x14ac:dyDescent="0.3">
      <c r="M528" s="68"/>
    </row>
    <row r="529" spans="13:13" x14ac:dyDescent="0.3">
      <c r="M529" s="68"/>
    </row>
    <row r="530" spans="13:13" x14ac:dyDescent="0.3">
      <c r="M530" s="68"/>
    </row>
    <row r="531" spans="13:13" x14ac:dyDescent="0.3">
      <c r="M531" s="68"/>
    </row>
    <row r="532" spans="13:13" x14ac:dyDescent="0.3">
      <c r="M532" s="68"/>
    </row>
    <row r="533" spans="13:13" x14ac:dyDescent="0.3">
      <c r="M533" s="68"/>
    </row>
    <row r="534" spans="13:13" x14ac:dyDescent="0.3">
      <c r="M534" s="68"/>
    </row>
    <row r="535" spans="13:13" x14ac:dyDescent="0.3">
      <c r="M535" s="68"/>
    </row>
    <row r="536" spans="13:13" x14ac:dyDescent="0.3">
      <c r="M536" s="68"/>
    </row>
    <row r="537" spans="13:13" x14ac:dyDescent="0.3">
      <c r="M537" s="68"/>
    </row>
    <row r="538" spans="13:13" x14ac:dyDescent="0.3">
      <c r="M538" s="68"/>
    </row>
    <row r="539" spans="13:13" x14ac:dyDescent="0.3">
      <c r="M539" s="68"/>
    </row>
    <row r="540" spans="13:13" x14ac:dyDescent="0.3">
      <c r="M540" s="68"/>
    </row>
    <row r="541" spans="13:13" x14ac:dyDescent="0.3">
      <c r="M541" s="68"/>
    </row>
    <row r="542" spans="13:13" x14ac:dyDescent="0.3">
      <c r="M542" s="68"/>
    </row>
    <row r="543" spans="13:13" x14ac:dyDescent="0.3">
      <c r="M543" s="68"/>
    </row>
    <row r="544" spans="13:13" x14ac:dyDescent="0.3">
      <c r="M544" s="68"/>
    </row>
    <row r="545" spans="13:13" x14ac:dyDescent="0.3">
      <c r="M545" s="68"/>
    </row>
    <row r="546" spans="13:13" x14ac:dyDescent="0.3">
      <c r="M546" s="68"/>
    </row>
    <row r="547" spans="13:13" x14ac:dyDescent="0.3">
      <c r="M547" s="68"/>
    </row>
    <row r="548" spans="13:13" x14ac:dyDescent="0.3">
      <c r="M548" s="68"/>
    </row>
    <row r="549" spans="13:13" x14ac:dyDescent="0.3">
      <c r="M549" s="68"/>
    </row>
    <row r="550" spans="13:13" x14ac:dyDescent="0.3">
      <c r="M550" s="68"/>
    </row>
    <row r="551" spans="13:13" x14ac:dyDescent="0.3">
      <c r="M551" s="68"/>
    </row>
    <row r="552" spans="13:13" x14ac:dyDescent="0.3">
      <c r="M552" s="68"/>
    </row>
    <row r="553" spans="13:13" x14ac:dyDescent="0.3">
      <c r="M553" s="68"/>
    </row>
    <row r="554" spans="13:13" x14ac:dyDescent="0.3">
      <c r="M554" s="68"/>
    </row>
    <row r="555" spans="13:13" x14ac:dyDescent="0.3">
      <c r="M555" s="68"/>
    </row>
    <row r="556" spans="13:13" x14ac:dyDescent="0.3">
      <c r="M556" s="68"/>
    </row>
    <row r="557" spans="13:13" x14ac:dyDescent="0.3">
      <c r="M557" s="68"/>
    </row>
    <row r="558" spans="13:13" x14ac:dyDescent="0.3">
      <c r="M558" s="68"/>
    </row>
    <row r="559" spans="13:13" x14ac:dyDescent="0.3">
      <c r="M559" s="68"/>
    </row>
    <row r="560" spans="13:13" x14ac:dyDescent="0.3">
      <c r="M560" s="68"/>
    </row>
    <row r="561" spans="13:13" x14ac:dyDescent="0.3">
      <c r="M561" s="68"/>
    </row>
    <row r="562" spans="13:13" x14ac:dyDescent="0.3">
      <c r="M562" s="68"/>
    </row>
    <row r="563" spans="13:13" x14ac:dyDescent="0.3">
      <c r="M563" s="68"/>
    </row>
    <row r="564" spans="13:13" x14ac:dyDescent="0.3">
      <c r="M564" s="68"/>
    </row>
    <row r="565" spans="13:13" x14ac:dyDescent="0.3">
      <c r="M565" s="68"/>
    </row>
    <row r="566" spans="13:13" x14ac:dyDescent="0.3">
      <c r="M566" s="68"/>
    </row>
    <row r="567" spans="13:13" x14ac:dyDescent="0.3">
      <c r="M567" s="68"/>
    </row>
    <row r="568" spans="13:13" x14ac:dyDescent="0.3">
      <c r="M568" s="68"/>
    </row>
    <row r="569" spans="13:13" x14ac:dyDescent="0.3">
      <c r="M569" s="68"/>
    </row>
    <row r="570" spans="13:13" x14ac:dyDescent="0.3">
      <c r="M570" s="68"/>
    </row>
    <row r="571" spans="13:13" x14ac:dyDescent="0.3">
      <c r="M571" s="68"/>
    </row>
    <row r="572" spans="13:13" x14ac:dyDescent="0.3">
      <c r="M572" s="68"/>
    </row>
    <row r="573" spans="13:13" x14ac:dyDescent="0.3">
      <c r="M573" s="68"/>
    </row>
    <row r="574" spans="13:13" x14ac:dyDescent="0.3">
      <c r="M574" s="68"/>
    </row>
    <row r="575" spans="13:13" x14ac:dyDescent="0.3">
      <c r="M575" s="68"/>
    </row>
    <row r="576" spans="13:13" x14ac:dyDescent="0.3">
      <c r="M576" s="68"/>
    </row>
    <row r="577" spans="13:13" x14ac:dyDescent="0.3">
      <c r="M577" s="68"/>
    </row>
    <row r="578" spans="13:13" x14ac:dyDescent="0.3">
      <c r="M578" s="68"/>
    </row>
    <row r="579" spans="13:13" x14ac:dyDescent="0.3">
      <c r="M579" s="68"/>
    </row>
    <row r="580" spans="13:13" x14ac:dyDescent="0.3">
      <c r="M580" s="68"/>
    </row>
    <row r="581" spans="13:13" x14ac:dyDescent="0.3">
      <c r="M581" s="68"/>
    </row>
    <row r="582" spans="13:13" x14ac:dyDescent="0.3">
      <c r="M582" s="68"/>
    </row>
    <row r="583" spans="13:13" x14ac:dyDescent="0.3">
      <c r="M583" s="68"/>
    </row>
    <row r="584" spans="13:13" x14ac:dyDescent="0.3">
      <c r="M584" s="68"/>
    </row>
    <row r="585" spans="13:13" x14ac:dyDescent="0.3">
      <c r="M585" s="68"/>
    </row>
    <row r="586" spans="13:13" x14ac:dyDescent="0.3">
      <c r="M586" s="68"/>
    </row>
    <row r="587" spans="13:13" x14ac:dyDescent="0.3">
      <c r="M587" s="68"/>
    </row>
    <row r="588" spans="13:13" x14ac:dyDescent="0.3">
      <c r="M588" s="68"/>
    </row>
    <row r="589" spans="13:13" x14ac:dyDescent="0.3">
      <c r="M589" s="68"/>
    </row>
    <row r="590" spans="13:13" x14ac:dyDescent="0.3">
      <c r="M590" s="68"/>
    </row>
    <row r="591" spans="13:13" x14ac:dyDescent="0.3">
      <c r="M591" s="68"/>
    </row>
    <row r="592" spans="13:13" x14ac:dyDescent="0.3">
      <c r="M592" s="68"/>
    </row>
    <row r="593" spans="13:13" x14ac:dyDescent="0.3">
      <c r="M593" s="68"/>
    </row>
    <row r="594" spans="13:13" x14ac:dyDescent="0.3">
      <c r="M594" s="68"/>
    </row>
    <row r="595" spans="13:13" x14ac:dyDescent="0.3">
      <c r="M595" s="68"/>
    </row>
    <row r="596" spans="13:13" x14ac:dyDescent="0.3">
      <c r="M596" s="68"/>
    </row>
    <row r="597" spans="13:13" x14ac:dyDescent="0.3">
      <c r="M597" s="68"/>
    </row>
    <row r="598" spans="13:13" x14ac:dyDescent="0.3">
      <c r="M598" s="68"/>
    </row>
    <row r="599" spans="13:13" x14ac:dyDescent="0.3">
      <c r="M599" s="68"/>
    </row>
    <row r="600" spans="13:13" x14ac:dyDescent="0.3">
      <c r="M600" s="68"/>
    </row>
    <row r="601" spans="13:13" x14ac:dyDescent="0.3">
      <c r="M601" s="68"/>
    </row>
    <row r="602" spans="13:13" x14ac:dyDescent="0.3">
      <c r="M602" s="68"/>
    </row>
    <row r="603" spans="13:13" x14ac:dyDescent="0.3">
      <c r="M603" s="68"/>
    </row>
    <row r="604" spans="13:13" x14ac:dyDescent="0.3">
      <c r="M604" s="68"/>
    </row>
    <row r="605" spans="13:13" x14ac:dyDescent="0.3">
      <c r="M605" s="68"/>
    </row>
    <row r="606" spans="13:13" x14ac:dyDescent="0.3">
      <c r="M606" s="68"/>
    </row>
    <row r="607" spans="13:13" x14ac:dyDescent="0.3">
      <c r="M607" s="68"/>
    </row>
    <row r="608" spans="13:13" x14ac:dyDescent="0.3">
      <c r="M608" s="68"/>
    </row>
    <row r="609" spans="13:13" x14ac:dyDescent="0.3">
      <c r="M609" s="68"/>
    </row>
    <row r="610" spans="13:13" x14ac:dyDescent="0.3">
      <c r="M610" s="68"/>
    </row>
    <row r="611" spans="13:13" x14ac:dyDescent="0.3">
      <c r="M611" s="68"/>
    </row>
    <row r="612" spans="13:13" x14ac:dyDescent="0.3">
      <c r="M612" s="68"/>
    </row>
    <row r="613" spans="13:13" x14ac:dyDescent="0.3">
      <c r="M613" s="68"/>
    </row>
    <row r="614" spans="13:13" x14ac:dyDescent="0.3">
      <c r="M614" s="68"/>
    </row>
    <row r="615" spans="13:13" x14ac:dyDescent="0.3">
      <c r="M615" s="68"/>
    </row>
    <row r="616" spans="13:13" x14ac:dyDescent="0.3">
      <c r="M616" s="68"/>
    </row>
    <row r="617" spans="13:13" x14ac:dyDescent="0.3">
      <c r="M617" s="68"/>
    </row>
    <row r="618" spans="13:13" x14ac:dyDescent="0.3">
      <c r="M618" s="68"/>
    </row>
    <row r="619" spans="13:13" x14ac:dyDescent="0.3">
      <c r="M619" s="68"/>
    </row>
    <row r="620" spans="13:13" x14ac:dyDescent="0.3">
      <c r="M620" s="68"/>
    </row>
    <row r="621" spans="13:13" x14ac:dyDescent="0.3">
      <c r="M621" s="68"/>
    </row>
    <row r="622" spans="13:13" x14ac:dyDescent="0.3">
      <c r="M622" s="68"/>
    </row>
    <row r="623" spans="13:13" x14ac:dyDescent="0.3">
      <c r="M623" s="68"/>
    </row>
    <row r="624" spans="13:13" x14ac:dyDescent="0.3">
      <c r="M624" s="68"/>
    </row>
    <row r="625" spans="13:13" x14ac:dyDescent="0.3">
      <c r="M625" s="68"/>
    </row>
    <row r="626" spans="13:13" x14ac:dyDescent="0.3">
      <c r="M626" s="68"/>
    </row>
    <row r="627" spans="13:13" x14ac:dyDescent="0.3">
      <c r="M627" s="68"/>
    </row>
    <row r="628" spans="13:13" x14ac:dyDescent="0.3">
      <c r="M628" s="68"/>
    </row>
    <row r="629" spans="13:13" x14ac:dyDescent="0.3">
      <c r="M629" s="68"/>
    </row>
    <row r="630" spans="13:13" x14ac:dyDescent="0.3">
      <c r="M630" s="68"/>
    </row>
    <row r="631" spans="13:13" x14ac:dyDescent="0.3">
      <c r="M631" s="68"/>
    </row>
    <row r="632" spans="13:13" x14ac:dyDescent="0.3">
      <c r="M632" s="68"/>
    </row>
    <row r="633" spans="13:13" x14ac:dyDescent="0.3">
      <c r="M633" s="68"/>
    </row>
    <row r="634" spans="13:13" x14ac:dyDescent="0.3">
      <c r="M634" s="68"/>
    </row>
    <row r="635" spans="13:13" x14ac:dyDescent="0.3">
      <c r="M635" s="68"/>
    </row>
    <row r="636" spans="13:13" x14ac:dyDescent="0.3">
      <c r="M636" s="68"/>
    </row>
    <row r="637" spans="13:13" x14ac:dyDescent="0.3">
      <c r="M637" s="68"/>
    </row>
    <row r="638" spans="13:13" x14ac:dyDescent="0.3">
      <c r="M638" s="68"/>
    </row>
    <row r="639" spans="13:13" x14ac:dyDescent="0.3">
      <c r="M639" s="68"/>
    </row>
    <row r="640" spans="13:13" x14ac:dyDescent="0.3">
      <c r="M640" s="68"/>
    </row>
    <row r="641" spans="13:13" x14ac:dyDescent="0.3">
      <c r="M641" s="68"/>
    </row>
    <row r="642" spans="13:13" x14ac:dyDescent="0.3">
      <c r="M642" s="68"/>
    </row>
    <row r="643" spans="13:13" x14ac:dyDescent="0.3">
      <c r="M643" s="68"/>
    </row>
    <row r="644" spans="13:13" x14ac:dyDescent="0.3">
      <c r="M644" s="68"/>
    </row>
    <row r="645" spans="13:13" x14ac:dyDescent="0.3">
      <c r="M645" s="68"/>
    </row>
    <row r="646" spans="13:13" x14ac:dyDescent="0.3">
      <c r="M646" s="68"/>
    </row>
    <row r="647" spans="13:13" x14ac:dyDescent="0.3">
      <c r="M647" s="68"/>
    </row>
    <row r="648" spans="13:13" x14ac:dyDescent="0.3">
      <c r="M648" s="68"/>
    </row>
    <row r="649" spans="13:13" x14ac:dyDescent="0.3">
      <c r="M649" s="68"/>
    </row>
    <row r="650" spans="13:13" x14ac:dyDescent="0.3">
      <c r="M650" s="68"/>
    </row>
    <row r="651" spans="13:13" x14ac:dyDescent="0.3">
      <c r="M651" s="68"/>
    </row>
    <row r="652" spans="13:13" x14ac:dyDescent="0.3">
      <c r="M652" s="68"/>
    </row>
    <row r="653" spans="13:13" x14ac:dyDescent="0.3">
      <c r="M653" s="68"/>
    </row>
    <row r="654" spans="13:13" x14ac:dyDescent="0.3">
      <c r="M654" s="68"/>
    </row>
    <row r="655" spans="13:13" x14ac:dyDescent="0.3">
      <c r="M655" s="68"/>
    </row>
    <row r="656" spans="13:13" x14ac:dyDescent="0.3">
      <c r="M656" s="68"/>
    </row>
    <row r="657" spans="13:13" x14ac:dyDescent="0.3">
      <c r="M657" s="68"/>
    </row>
    <row r="658" spans="13:13" x14ac:dyDescent="0.3">
      <c r="M658" s="68"/>
    </row>
    <row r="659" spans="13:13" x14ac:dyDescent="0.3">
      <c r="M659" s="68"/>
    </row>
    <row r="660" spans="13:13" x14ac:dyDescent="0.3">
      <c r="M660" s="68"/>
    </row>
    <row r="661" spans="13:13" x14ac:dyDescent="0.3">
      <c r="M661" s="68"/>
    </row>
    <row r="662" spans="13:13" x14ac:dyDescent="0.3">
      <c r="M662" s="68"/>
    </row>
    <row r="663" spans="13:13" x14ac:dyDescent="0.3">
      <c r="M663" s="68"/>
    </row>
    <row r="664" spans="13:13" x14ac:dyDescent="0.3">
      <c r="M664" s="68"/>
    </row>
    <row r="665" spans="13:13" x14ac:dyDescent="0.3">
      <c r="M665" s="68"/>
    </row>
    <row r="666" spans="13:13" x14ac:dyDescent="0.3">
      <c r="M666" s="68"/>
    </row>
    <row r="667" spans="13:13" x14ac:dyDescent="0.3">
      <c r="M667" s="68"/>
    </row>
    <row r="668" spans="13:13" x14ac:dyDescent="0.3">
      <c r="M668" s="68"/>
    </row>
    <row r="669" spans="13:13" x14ac:dyDescent="0.3">
      <c r="M669" s="68"/>
    </row>
    <row r="670" spans="13:13" x14ac:dyDescent="0.3">
      <c r="M670" s="68"/>
    </row>
    <row r="671" spans="13:13" x14ac:dyDescent="0.3">
      <c r="M671" s="68"/>
    </row>
    <row r="672" spans="13:13" x14ac:dyDescent="0.3">
      <c r="M672" s="68"/>
    </row>
    <row r="673" spans="13:13" x14ac:dyDescent="0.3">
      <c r="M673" s="68"/>
    </row>
    <row r="674" spans="13:13" x14ac:dyDescent="0.3">
      <c r="M674" s="68"/>
    </row>
    <row r="675" spans="13:13" x14ac:dyDescent="0.3">
      <c r="M675" s="68"/>
    </row>
    <row r="676" spans="13:13" x14ac:dyDescent="0.3">
      <c r="M676" s="68"/>
    </row>
    <row r="677" spans="13:13" x14ac:dyDescent="0.3">
      <c r="M677" s="68"/>
    </row>
    <row r="678" spans="13:13" x14ac:dyDescent="0.3">
      <c r="M678" s="68"/>
    </row>
    <row r="679" spans="13:13" x14ac:dyDescent="0.3">
      <c r="M679" s="68"/>
    </row>
    <row r="680" spans="13:13" x14ac:dyDescent="0.3">
      <c r="M680" s="68"/>
    </row>
    <row r="681" spans="13:13" x14ac:dyDescent="0.3">
      <c r="M681" s="68"/>
    </row>
    <row r="682" spans="13:13" x14ac:dyDescent="0.3">
      <c r="M682" s="68"/>
    </row>
    <row r="683" spans="13:13" x14ac:dyDescent="0.3">
      <c r="M683" s="68"/>
    </row>
    <row r="684" spans="13:13" x14ac:dyDescent="0.3">
      <c r="M684" s="68"/>
    </row>
    <row r="685" spans="13:13" x14ac:dyDescent="0.3">
      <c r="M685" s="68"/>
    </row>
    <row r="686" spans="13:13" x14ac:dyDescent="0.3">
      <c r="M686" s="68"/>
    </row>
    <row r="687" spans="13:13" x14ac:dyDescent="0.3">
      <c r="M687" s="68"/>
    </row>
    <row r="688" spans="13:13" x14ac:dyDescent="0.3">
      <c r="M688" s="68"/>
    </row>
    <row r="689" spans="13:13" x14ac:dyDescent="0.3">
      <c r="M689" s="68"/>
    </row>
    <row r="690" spans="13:13" x14ac:dyDescent="0.3">
      <c r="M690" s="68"/>
    </row>
    <row r="691" spans="13:13" x14ac:dyDescent="0.3">
      <c r="M691" s="68"/>
    </row>
    <row r="692" spans="13:13" x14ac:dyDescent="0.3">
      <c r="M692" s="68"/>
    </row>
    <row r="693" spans="13:13" x14ac:dyDescent="0.3">
      <c r="M693" s="68"/>
    </row>
    <row r="694" spans="13:13" x14ac:dyDescent="0.3">
      <c r="M694" s="68"/>
    </row>
    <row r="695" spans="13:13" x14ac:dyDescent="0.3">
      <c r="M695" s="68"/>
    </row>
    <row r="696" spans="13:13" x14ac:dyDescent="0.3">
      <c r="M696" s="68"/>
    </row>
    <row r="697" spans="13:13" x14ac:dyDescent="0.3">
      <c r="M697" s="68"/>
    </row>
    <row r="698" spans="13:13" x14ac:dyDescent="0.3">
      <c r="M698" s="68"/>
    </row>
    <row r="699" spans="13:13" x14ac:dyDescent="0.3">
      <c r="M699" s="68"/>
    </row>
  </sheetData>
  <mergeCells count="8">
    <mergeCell ref="F4:K4"/>
    <mergeCell ref="O4:AC4"/>
    <mergeCell ref="AF4:AM4"/>
    <mergeCell ref="S5:U5"/>
    <mergeCell ref="W5:Y5"/>
    <mergeCell ref="AA5:AC5"/>
    <mergeCell ref="AF5:AI5"/>
    <mergeCell ref="AJ5:A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C5C3-61DB-4C19-ABA7-70EEA1E90BEA}">
  <dimension ref="B2:X20"/>
  <sheetViews>
    <sheetView workbookViewId="0">
      <selection activeCell="C3" sqref="C3"/>
    </sheetView>
  </sheetViews>
  <sheetFormatPr defaultRowHeight="14.4" outlineLevelCol="1" x14ac:dyDescent="0.3"/>
  <cols>
    <col min="1" max="4" width="8.88671875" style="71"/>
    <col min="5" max="6" width="10.6640625" style="71" customWidth="1"/>
    <col min="7" max="8" width="8.88671875" style="71"/>
    <col min="9" max="9" width="11.109375" style="71" customWidth="1"/>
    <col min="10" max="10" width="2.88671875" style="71" customWidth="1"/>
    <col min="11" max="13" width="11.109375" style="71" hidden="1" customWidth="1" outlineLevel="1"/>
    <col min="14" max="14" width="2.6640625" style="71" hidden="1" customWidth="1" outlineLevel="1"/>
    <col min="15" max="15" width="10.109375" style="71" bestFit="1" customWidth="1" collapsed="1"/>
    <col min="16" max="17" width="10.109375" style="71" customWidth="1"/>
    <col min="18" max="18" width="11.6640625" style="71" customWidth="1"/>
    <col min="19" max="19" width="2.77734375" style="71" customWidth="1"/>
    <col min="20" max="22" width="8.88671875" style="71"/>
    <col min="23" max="23" width="11.44140625" style="71" customWidth="1"/>
    <col min="24" max="16384" width="8.88671875" style="71"/>
  </cols>
  <sheetData>
    <row r="2" spans="2:24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</row>
    <row r="3" spans="2:24" x14ac:dyDescent="0.3">
      <c r="B3" s="66"/>
      <c r="C3" s="69" t="str">
        <f>"Secondary Voltage Power Tariff Bill Impacts"&amp;"-"&amp;'CETR Rate'!F2</f>
        <v>Secondary Voltage Power Tariff Bill Impacts-Clean Energy Transistion Plan Project 1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</row>
    <row r="4" spans="2:24" ht="14.4" customHeight="1" x14ac:dyDescent="0.3">
      <c r="B4" s="66"/>
      <c r="C4" s="260" t="s">
        <v>123</v>
      </c>
      <c r="D4" s="261"/>
      <c r="E4" s="261" t="s">
        <v>136</v>
      </c>
      <c r="F4" s="261" t="s">
        <v>137</v>
      </c>
      <c r="G4" s="261" t="s">
        <v>138</v>
      </c>
      <c r="H4" s="261" t="s">
        <v>139</v>
      </c>
      <c r="I4" s="258" t="s">
        <v>113</v>
      </c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9"/>
      <c r="X4" s="66"/>
    </row>
    <row r="5" spans="2:24" ht="43.2" customHeight="1" x14ac:dyDescent="0.3">
      <c r="B5" s="66"/>
      <c r="C5" s="262"/>
      <c r="D5" s="263"/>
      <c r="E5" s="263"/>
      <c r="F5" s="263"/>
      <c r="G5" s="263"/>
      <c r="H5" s="263"/>
      <c r="I5" s="189"/>
      <c r="J5" s="189"/>
      <c r="K5" s="256" t="s">
        <v>95</v>
      </c>
      <c r="L5" s="256"/>
      <c r="M5" s="256"/>
      <c r="N5" s="189"/>
      <c r="O5" s="256" t="s">
        <v>141</v>
      </c>
      <c r="P5" s="256"/>
      <c r="Q5" s="256"/>
      <c r="R5" s="256"/>
      <c r="S5" s="189"/>
      <c r="T5" s="256" t="s">
        <v>142</v>
      </c>
      <c r="U5" s="256"/>
      <c r="V5" s="256"/>
      <c r="W5" s="257"/>
      <c r="X5" s="66"/>
    </row>
    <row r="6" spans="2:24" ht="28.8" x14ac:dyDescent="0.3">
      <c r="B6" s="66"/>
      <c r="C6" s="262"/>
      <c r="D6" s="263"/>
      <c r="E6" s="263"/>
      <c r="F6" s="263"/>
      <c r="G6" s="263"/>
      <c r="H6" s="263"/>
      <c r="I6" s="189" t="s">
        <v>140</v>
      </c>
      <c r="J6" s="189"/>
      <c r="K6" s="189">
        <v>2024</v>
      </c>
      <c r="L6" s="189">
        <v>2025</v>
      </c>
      <c r="M6" s="189">
        <v>2026</v>
      </c>
      <c r="N6" s="189"/>
      <c r="O6" s="189">
        <v>2024</v>
      </c>
      <c r="P6" s="189">
        <v>2025</v>
      </c>
      <c r="Q6" s="189">
        <v>2026</v>
      </c>
      <c r="R6" s="189" t="s">
        <v>156</v>
      </c>
      <c r="S6" s="189"/>
      <c r="T6" s="189">
        <v>2024</v>
      </c>
      <c r="U6" s="189">
        <v>2025</v>
      </c>
      <c r="V6" s="189">
        <v>2026</v>
      </c>
      <c r="W6" s="142" t="s">
        <v>156</v>
      </c>
      <c r="X6" s="66"/>
    </row>
    <row r="7" spans="2:24" x14ac:dyDescent="0.3">
      <c r="B7" s="66"/>
      <c r="C7" s="133" t="s">
        <v>124</v>
      </c>
      <c r="D7" s="66"/>
      <c r="E7" s="143">
        <v>477</v>
      </c>
      <c r="F7" s="139">
        <v>0.106759176365264</v>
      </c>
      <c r="G7" s="140">
        <v>6.3459119496855347</v>
      </c>
      <c r="H7" s="141">
        <v>52.083857442348005</v>
      </c>
      <c r="I7" s="190">
        <f>((Tariffs!$E$36+(Tariffs!$F$36*'Secondary Voltage Power'!$H7)+(Tariffs!$G$36*'Secondary Voltage Power'!$G7)+(Tariffs!$I$36*'Secondary Voltage Power'!$H7))*(1+Tariffs!$H$36))</f>
        <v>344.0137586148299</v>
      </c>
      <c r="J7" s="190"/>
      <c r="K7" s="190">
        <f>((Tariffs!$E$36+(Tariffs!$F$36*'Secondary Voltage Power'!$H7)+(Tariffs!$G$36*'Secondary Voltage Power'!$G7)+(Tariffs!$I$36*'Secondary Voltage Power'!$H7)+(Tariffs!J$36*'Secondary Voltage Power'!$H7))*(1+Tariffs!$H$36))</f>
        <v>345.58931483390751</v>
      </c>
      <c r="L7" s="190">
        <f>((Tariffs!$E$36+(Tariffs!$F$36*'Secondary Voltage Power'!$H7)+(Tariffs!$G$36*'Secondary Voltage Power'!$G7)+(Tariffs!$I$36*'Secondary Voltage Power'!$H7)+(Tariffs!K$36*'Secondary Voltage Power'!$H7))*(1+Tariffs!$H$36))</f>
        <v>347.37392523998716</v>
      </c>
      <c r="M7" s="190">
        <f>((Tariffs!$E$36+(Tariffs!$F$36*'Secondary Voltage Power'!$H7)+(Tariffs!$G$36*'Secondary Voltage Power'!$G7)+(Tariffs!$I$36*'Secondary Voltage Power'!$H7)+(Tariffs!L$36*'Secondary Voltage Power'!$H7))*(1+Tariffs!$H$36))</f>
        <v>347.51358029114022</v>
      </c>
      <c r="N7" s="190"/>
      <c r="O7" s="190">
        <f>K7-$I7</f>
        <v>1.5755562190776118</v>
      </c>
      <c r="P7" s="190">
        <f t="shared" ref="P7:Q7" si="0">L7-$I7</f>
        <v>3.3601666251572624</v>
      </c>
      <c r="Q7" s="190">
        <f t="shared" si="0"/>
        <v>3.4998216763103187</v>
      </c>
      <c r="R7" s="191">
        <f>SUM(O7:Q7)</f>
        <v>8.4355445205451929</v>
      </c>
      <c r="S7" s="190"/>
      <c r="T7" s="112">
        <f>K7/$I7-1</f>
        <v>4.5799221095736975E-3</v>
      </c>
      <c r="U7" s="112">
        <f>L7/$I7-1</f>
        <v>9.7675355738298109E-3</v>
      </c>
      <c r="V7" s="112">
        <f>M7/$I7-1</f>
        <v>1.0173493323064609E-2</v>
      </c>
      <c r="W7" s="192">
        <f>SUM(T7:V7)</f>
        <v>2.4520951006468117E-2</v>
      </c>
      <c r="X7" s="66"/>
    </row>
    <row r="8" spans="2:24" x14ac:dyDescent="0.3">
      <c r="B8" s="66"/>
      <c r="C8" s="133" t="s">
        <v>125</v>
      </c>
      <c r="D8" s="66"/>
      <c r="E8" s="143">
        <v>246</v>
      </c>
      <c r="F8" s="139">
        <v>5.505819158460161E-2</v>
      </c>
      <c r="G8" s="140">
        <v>11.963414634146341</v>
      </c>
      <c r="H8" s="141">
        <v>460.5609756097561</v>
      </c>
      <c r="I8" s="190">
        <f>((Tariffs!$E$36+(Tariffs!$F$36*'Secondary Voltage Power'!$H8)+(Tariffs!$G$36*'Secondary Voltage Power'!$G8)+(Tariffs!$I$36*'Secondary Voltage Power'!$H8))*(1+Tariffs!$H$36))</f>
        <v>801.07518150912256</v>
      </c>
      <c r="J8" s="190"/>
      <c r="K8" s="190">
        <f>((Tariffs!$E$36+(Tariffs!$F$36*'Secondary Voltage Power'!$H8)+(Tariffs!$G$36*'Secondary Voltage Power'!$G8)+(Tariffs!$I$36*'Secondary Voltage Power'!$H8)+(Tariffs!J$36*'Secondary Voltage Power'!$H8))*(1+Tariffs!$H$36))</f>
        <v>815.00732373168364</v>
      </c>
      <c r="L8" s="190">
        <f>((Tariffs!$E$36+(Tariffs!$F$36*'Secondary Voltage Power'!$H8)+(Tariffs!$G$36*'Secondary Voltage Power'!$G8)+(Tariffs!$I$36*'Secondary Voltage Power'!$H8)+(Tariffs!K$36*'Secondary Voltage Power'!$H8))*(1+Tariffs!$H$36))</f>
        <v>830.788065598147</v>
      </c>
      <c r="M8" s="190">
        <f>((Tariffs!$E$36+(Tariffs!$F$36*'Secondary Voltage Power'!$H8)+(Tariffs!$G$36*'Secondary Voltage Power'!$G8)+(Tariffs!$I$36*'Secondary Voltage Power'!$H8)+(Tariffs!L$36*'Secondary Voltage Power'!$H8))*(1+Tariffs!$H$36))</f>
        <v>832.0229907700982</v>
      </c>
      <c r="N8" s="190"/>
      <c r="O8" s="190">
        <f t="shared" ref="O8:O18" si="1">K8-$I8</f>
        <v>13.932142222561083</v>
      </c>
      <c r="P8" s="190">
        <f t="shared" ref="P8:P18" si="2">L8-$I8</f>
        <v>29.712884089024442</v>
      </c>
      <c r="Q8" s="190">
        <f t="shared" ref="Q8:Q18" si="3">M8-$I8</f>
        <v>30.947809260975646</v>
      </c>
      <c r="R8" s="191">
        <f t="shared" ref="R8:R18" si="4">SUM(O8:Q8)</f>
        <v>74.592835572561171</v>
      </c>
      <c r="S8" s="190"/>
      <c r="T8" s="112">
        <f t="shared" ref="T8:T18" si="5">K8/$I8-1</f>
        <v>1.7391803596155331E-2</v>
      </c>
      <c r="U8" s="112">
        <f t="shared" ref="U8:U18" si="6">L8/$I8-1</f>
        <v>3.7091255321440864E-2</v>
      </c>
      <c r="V8" s="112">
        <f t="shared" ref="V8:V18" si="7">M8/$I8-1</f>
        <v>3.8632839932294383E-2</v>
      </c>
      <c r="W8" s="192">
        <f t="shared" ref="W8:W18" si="8">SUM(T8:V8)</f>
        <v>9.3115898849890577E-2</v>
      </c>
      <c r="X8" s="66"/>
    </row>
    <row r="9" spans="2:24" x14ac:dyDescent="0.3">
      <c r="B9" s="66"/>
      <c r="C9" s="133" t="s">
        <v>126</v>
      </c>
      <c r="D9" s="66"/>
      <c r="E9" s="143">
        <v>482</v>
      </c>
      <c r="F9" s="139">
        <v>0.10787824529991047</v>
      </c>
      <c r="G9" s="140">
        <v>87.448132780082986</v>
      </c>
      <c r="H9" s="141">
        <v>5725.9751037344395</v>
      </c>
      <c r="I9" s="190">
        <f>((Tariffs!$E$36+(Tariffs!$F$36*'Secondary Voltage Power'!$H9)+(Tariffs!$G$36*'Secondary Voltage Power'!$G9)+(Tariffs!$I$36*'Secondary Voltage Power'!$H9))*(1+Tariffs!$H$36))</f>
        <v>6788.1226482292759</v>
      </c>
      <c r="J9" s="190"/>
      <c r="K9" s="190">
        <f>((Tariffs!$E$36+(Tariffs!$F$36*'Secondary Voltage Power'!$H9)+(Tariffs!$G$36*'Secondary Voltage Power'!$G9)+(Tariffs!$I$36*'Secondary Voltage Power'!$H9)+(Tariffs!J$36*'Secondary Voltage Power'!$H9))*(1+Tariffs!$H$36))</f>
        <v>6961.3355423579069</v>
      </c>
      <c r="L9" s="190">
        <f>((Tariffs!$E$36+(Tariffs!$F$36*'Secondary Voltage Power'!$H9)+(Tariffs!$G$36*'Secondary Voltage Power'!$G9)+(Tariffs!$I$36*'Secondary Voltage Power'!$H9)+(Tariffs!K$36*'Secondary Voltage Power'!$H9))*(1+Tariffs!$H$36))</f>
        <v>7157.5313553579072</v>
      </c>
      <c r="M9" s="190">
        <f>((Tariffs!$E$36+(Tariffs!$F$36*'Secondary Voltage Power'!$H9)+(Tariffs!$G$36*'Secondary Voltage Power'!$G9)+(Tariffs!$I$36*'Secondary Voltage Power'!$H9)+(Tariffs!L$36*'Secondary Voltage Power'!$H9))*(1+Tariffs!$H$36))</f>
        <v>7172.8846987023053</v>
      </c>
      <c r="N9" s="190"/>
      <c r="O9" s="190">
        <f t="shared" si="1"/>
        <v>173.21289412863098</v>
      </c>
      <c r="P9" s="190">
        <f t="shared" si="2"/>
        <v>369.40870712863125</v>
      </c>
      <c r="Q9" s="190">
        <f t="shared" si="3"/>
        <v>384.76205047302938</v>
      </c>
      <c r="R9" s="191">
        <f t="shared" si="4"/>
        <v>927.3836517302916</v>
      </c>
      <c r="S9" s="190"/>
      <c r="T9" s="112">
        <f t="shared" si="5"/>
        <v>2.5517054288023866E-2</v>
      </c>
      <c r="U9" s="112">
        <f t="shared" si="6"/>
        <v>5.4419863380782196E-2</v>
      </c>
      <c r="V9" s="112">
        <f t="shared" si="7"/>
        <v>5.6681658598699114E-2</v>
      </c>
      <c r="W9" s="192">
        <f t="shared" si="8"/>
        <v>0.13661857626750518</v>
      </c>
      <c r="X9" s="66"/>
    </row>
    <row r="10" spans="2:24" x14ac:dyDescent="0.3">
      <c r="B10" s="66"/>
      <c r="C10" s="133" t="s">
        <v>127</v>
      </c>
      <c r="D10" s="66"/>
      <c r="E10" s="143">
        <v>1296</v>
      </c>
      <c r="F10" s="139">
        <v>0.29006266786034018</v>
      </c>
      <c r="G10" s="140">
        <v>17.010030864197532</v>
      </c>
      <c r="H10" s="141">
        <v>2652.662037037037</v>
      </c>
      <c r="I10" s="190">
        <f>((Tariffs!$E$36+(Tariffs!$F$36*'Secondary Voltage Power'!$H10)+(Tariffs!$G$36*'Secondary Voltage Power'!$G10)+(Tariffs!$I$36*'Secondary Voltage Power'!$H10))*(1+Tariffs!$H$36))</f>
        <v>2475.0132793673311</v>
      </c>
      <c r="J10" s="190"/>
      <c r="K10" s="190">
        <f>((Tariffs!$E$36+(Tariffs!$F$36*'Secondary Voltage Power'!$H10)+(Tariffs!$G$36*'Secondary Voltage Power'!$G10)+(Tariffs!$I$36*'Secondary Voltage Power'!$H10)+(Tariffs!J$36*'Secondary Voltage Power'!$H10))*(1+Tariffs!$H$36))</f>
        <v>2555.2573007359651</v>
      </c>
      <c r="L10" s="190">
        <f>((Tariffs!$E$36+(Tariffs!$F$36*'Secondary Voltage Power'!$H10)+(Tariffs!$G$36*'Secondary Voltage Power'!$G10)+(Tariffs!$I$36*'Secondary Voltage Power'!$H10)+(Tariffs!K$36*'Secondary Voltage Power'!$H10))*(1+Tariffs!$H$36))</f>
        <v>2646.1485769888586</v>
      </c>
      <c r="M10" s="190">
        <f>((Tariffs!$E$36+(Tariffs!$F$36*'Secondary Voltage Power'!$H10)+(Tariffs!$G$36*'Secondary Voltage Power'!$G10)+(Tariffs!$I$36*'Secondary Voltage Power'!$H10)+(Tariffs!L$36*'Secondary Voltage Power'!$H10))*(1+Tariffs!$H$36))</f>
        <v>2653.2612923418678</v>
      </c>
      <c r="N10" s="190"/>
      <c r="O10" s="190">
        <f t="shared" si="1"/>
        <v>80.244021368634094</v>
      </c>
      <c r="P10" s="190">
        <f t="shared" si="2"/>
        <v>171.13529762152757</v>
      </c>
      <c r="Q10" s="190">
        <f t="shared" si="3"/>
        <v>178.24801297453678</v>
      </c>
      <c r="R10" s="191">
        <f t="shared" si="4"/>
        <v>429.62733196469844</v>
      </c>
      <c r="S10" s="190"/>
      <c r="T10" s="112">
        <f t="shared" si="5"/>
        <v>3.2421652860442851E-2</v>
      </c>
      <c r="U10" s="112">
        <f t="shared" si="6"/>
        <v>6.9145203804835242E-2</v>
      </c>
      <c r="V10" s="112">
        <f t="shared" si="7"/>
        <v>7.2019012770752067E-2</v>
      </c>
      <c r="W10" s="192">
        <f t="shared" si="8"/>
        <v>0.17358586943603016</v>
      </c>
      <c r="X10" s="66"/>
    </row>
    <row r="11" spans="2:24" x14ac:dyDescent="0.3">
      <c r="B11" s="66"/>
      <c r="C11" s="133" t="s">
        <v>128</v>
      </c>
      <c r="D11" s="66"/>
      <c r="E11" s="143">
        <v>965</v>
      </c>
      <c r="F11" s="139">
        <v>0.21598030438675023</v>
      </c>
      <c r="G11" s="140">
        <v>25.580310880829014</v>
      </c>
      <c r="H11" s="141">
        <v>6369.8</v>
      </c>
      <c r="I11" s="190">
        <f>((Tariffs!$E$36+(Tariffs!$F$36*'Secondary Voltage Power'!$H11)+(Tariffs!$G$36*'Secondary Voltage Power'!$G11)+(Tariffs!$I$36*'Secondary Voltage Power'!$H11))*(1+Tariffs!$H$36))</f>
        <v>5313.8998315149456</v>
      </c>
      <c r="J11" s="190"/>
      <c r="K11" s="190">
        <f>((Tariffs!$E$36+(Tariffs!$F$36*'Secondary Voltage Power'!$H11)+(Tariffs!$G$36*'Secondary Voltage Power'!$G11)+(Tariffs!$I$36*'Secondary Voltage Power'!$H11)+(Tariffs!J$36*'Secondary Voltage Power'!$H11))*(1+Tariffs!$H$36))</f>
        <v>5506.5886701899462</v>
      </c>
      <c r="L11" s="190">
        <f>((Tariffs!$E$36+(Tariffs!$F$36*'Secondary Voltage Power'!$H11)+(Tariffs!$G$36*'Secondary Voltage Power'!$G11)+(Tariffs!$I$36*'Secondary Voltage Power'!$H11)+(Tariffs!K$36*'Secondary Voltage Power'!$H11))*(1+Tariffs!$H$36))</f>
        <v>5724.8446121049456</v>
      </c>
      <c r="M11" s="190">
        <f>((Tariffs!$E$36+(Tariffs!$F$36*'Secondary Voltage Power'!$H11)+(Tariffs!$G$36*'Secondary Voltage Power'!$G11)+(Tariffs!$I$36*'Secondary Voltage Power'!$H11)+(Tariffs!L$36*'Secondary Voltage Power'!$H11))*(1+Tariffs!$H$36))</f>
        <v>5741.9242753349454</v>
      </c>
      <c r="N11" s="190"/>
      <c r="O11" s="190">
        <f t="shared" si="1"/>
        <v>192.68883867500062</v>
      </c>
      <c r="P11" s="190">
        <f t="shared" si="2"/>
        <v>410.94478058999994</v>
      </c>
      <c r="Q11" s="190">
        <f t="shared" si="3"/>
        <v>428.02444381999976</v>
      </c>
      <c r="R11" s="191">
        <f t="shared" si="4"/>
        <v>1031.6580630850003</v>
      </c>
      <c r="S11" s="190"/>
      <c r="T11" s="112">
        <f t="shared" si="5"/>
        <v>3.6261285455971182E-2</v>
      </c>
      <c r="U11" s="112">
        <f t="shared" si="6"/>
        <v>7.7333934326880849E-2</v>
      </c>
      <c r="V11" s="112">
        <f t="shared" si="7"/>
        <v>8.0548082837680113E-2</v>
      </c>
      <c r="W11" s="192">
        <f t="shared" si="8"/>
        <v>0.19414330262053214</v>
      </c>
      <c r="X11" s="66"/>
    </row>
    <row r="12" spans="2:24" x14ac:dyDescent="0.3">
      <c r="B12" s="66"/>
      <c r="C12" s="133" t="s">
        <v>129</v>
      </c>
      <c r="D12" s="66"/>
      <c r="E12" s="143">
        <v>631</v>
      </c>
      <c r="F12" s="139">
        <v>0.14122649955237243</v>
      </c>
      <c r="G12" s="140">
        <v>37.895404120443743</v>
      </c>
      <c r="H12" s="141">
        <v>13343.638668779715</v>
      </c>
      <c r="I12" s="190">
        <f>((Tariffs!$E$36+(Tariffs!$F$36*'Secondary Voltage Power'!$H12)+(Tariffs!$G$36*'Secondary Voltage Power'!$G12)+(Tariffs!$I$36*'Secondary Voltage Power'!$H12))*(1+Tariffs!$H$36))</f>
        <v>10523.223902886502</v>
      </c>
      <c r="J12" s="190"/>
      <c r="K12" s="190">
        <f>((Tariffs!$E$36+(Tariffs!$F$36*'Secondary Voltage Power'!$H12)+(Tariffs!$G$36*'Secondary Voltage Power'!$G12)+(Tariffs!$I$36*'Secondary Voltage Power'!$H12)+(Tariffs!J$36*'Secondary Voltage Power'!$H12))*(1+Tariffs!$H$36))</f>
        <v>10926.873976481587</v>
      </c>
      <c r="L12" s="190">
        <f>((Tariffs!$E$36+(Tariffs!$F$36*'Secondary Voltage Power'!$H12)+(Tariffs!$G$36*'Secondary Voltage Power'!$G12)+(Tariffs!$I$36*'Secondary Voltage Power'!$H12)+(Tariffs!K$36*'Secondary Voltage Power'!$H12))*(1+Tariffs!$H$36))</f>
        <v>11384.082746965423</v>
      </c>
      <c r="M12" s="190">
        <f>((Tariffs!$E$36+(Tariffs!$F$36*'Secondary Voltage Power'!$H12)+(Tariffs!$G$36*'Secondary Voltage Power'!$G12)+(Tariffs!$I$36*'Secondary Voltage Power'!$H12)+(Tariffs!L$36*'Secondary Voltage Power'!$H12))*(1+Tariffs!$H$36))</f>
        <v>11419.861712509955</v>
      </c>
      <c r="N12" s="190"/>
      <c r="O12" s="190">
        <f t="shared" si="1"/>
        <v>403.6500735950849</v>
      </c>
      <c r="P12" s="190">
        <f t="shared" si="2"/>
        <v>860.85884407892081</v>
      </c>
      <c r="Q12" s="190">
        <f t="shared" si="3"/>
        <v>896.63780962345299</v>
      </c>
      <c r="R12" s="191">
        <f t="shared" si="4"/>
        <v>2161.1467272974587</v>
      </c>
      <c r="S12" s="190"/>
      <c r="T12" s="112">
        <f t="shared" si="5"/>
        <v>3.8358023864185187E-2</v>
      </c>
      <c r="U12" s="112">
        <f t="shared" si="6"/>
        <v>8.1805618888598275E-2</v>
      </c>
      <c r="V12" s="112">
        <f t="shared" si="7"/>
        <v>8.5205619294815849E-2</v>
      </c>
      <c r="W12" s="192">
        <f t="shared" si="8"/>
        <v>0.20536926204759931</v>
      </c>
      <c r="X12" s="66"/>
    </row>
    <row r="13" spans="2:24" x14ac:dyDescent="0.3">
      <c r="B13" s="66"/>
      <c r="C13" s="133" t="s">
        <v>130</v>
      </c>
      <c r="D13" s="66"/>
      <c r="E13" s="143">
        <v>278</v>
      </c>
      <c r="F13" s="139">
        <v>6.222023276633841E-2</v>
      </c>
      <c r="G13" s="140">
        <v>47.31654676258993</v>
      </c>
      <c r="H13" s="141">
        <v>20775.244604316547</v>
      </c>
      <c r="I13" s="190">
        <f>((Tariffs!$E$36+(Tariffs!$F$36*'Secondary Voltage Power'!$H13)+(Tariffs!$G$36*'Secondary Voltage Power'!$G13)+(Tariffs!$I$36*'Secondary Voltage Power'!$H13))*(1+Tariffs!$H$36))</f>
        <v>15959.601857428506</v>
      </c>
      <c r="J13" s="190"/>
      <c r="K13" s="190">
        <f>((Tariffs!$E$36+(Tariffs!$F$36*'Secondary Voltage Power'!$H13)+(Tariffs!$G$36*'Secondary Voltage Power'!$G13)+(Tariffs!$I$36*'Secondary Voltage Power'!$H13)+(Tariffs!J$36*'Secondary Voltage Power'!$H13))*(1+Tariffs!$H$36))</f>
        <v>16588.060797425809</v>
      </c>
      <c r="L13" s="190">
        <f>((Tariffs!$E$36+(Tariffs!$F$36*'Secondary Voltage Power'!$H13)+(Tariffs!$G$36*'Secondary Voltage Power'!$G13)+(Tariffs!$I$36*'Secondary Voltage Power'!$H13)+(Tariffs!K$36*'Secondary Voltage Power'!$H13))*(1+Tariffs!$H$36))</f>
        <v>17299.907414215915</v>
      </c>
      <c r="M13" s="190">
        <f>((Tariffs!$E$36+(Tariffs!$F$36*'Secondary Voltage Power'!$H13)+(Tariffs!$G$36*'Secondary Voltage Power'!$G13)+(Tariffs!$I$36*'Secondary Voltage Power'!$H13)+(Tariffs!L$36*'Secondary Voltage Power'!$H13))*(1+Tariffs!$H$36))</f>
        <v>17355.613116335699</v>
      </c>
      <c r="N13" s="190"/>
      <c r="O13" s="190">
        <f t="shared" si="1"/>
        <v>628.45893999730288</v>
      </c>
      <c r="P13" s="190">
        <f t="shared" si="2"/>
        <v>1340.3055567874089</v>
      </c>
      <c r="Q13" s="190">
        <f t="shared" si="3"/>
        <v>1396.0112589071923</v>
      </c>
      <c r="R13" s="191">
        <f t="shared" si="4"/>
        <v>3364.7757556919041</v>
      </c>
      <c r="S13" s="190"/>
      <c r="T13" s="112">
        <f t="shared" si="5"/>
        <v>3.9378108903436182E-2</v>
      </c>
      <c r="U13" s="112">
        <f t="shared" si="6"/>
        <v>8.3981139928221538E-2</v>
      </c>
      <c r="V13" s="112">
        <f t="shared" si="7"/>
        <v>8.7471559214205019E-2</v>
      </c>
      <c r="W13" s="192">
        <f t="shared" si="8"/>
        <v>0.21083080804586274</v>
      </c>
      <c r="X13" s="66"/>
    </row>
    <row r="14" spans="2:24" x14ac:dyDescent="0.3">
      <c r="B14" s="66"/>
      <c r="C14" s="133" t="s">
        <v>131</v>
      </c>
      <c r="D14" s="66"/>
      <c r="E14" s="143">
        <v>57</v>
      </c>
      <c r="F14" s="139">
        <v>1.2757385854968667E-2</v>
      </c>
      <c r="G14" s="140">
        <v>44.789473684210527</v>
      </c>
      <c r="H14" s="141">
        <v>24059.964912280702</v>
      </c>
      <c r="I14" s="190">
        <f>((Tariffs!$E$36+(Tariffs!$F$36*'Secondary Voltage Power'!$H14)+(Tariffs!$G$36*'Secondary Voltage Power'!$G14)+(Tariffs!$I$36*'Secondary Voltage Power'!$H14))*(1+Tariffs!$H$36))</f>
        <v>18154.806431483434</v>
      </c>
      <c r="J14" s="190"/>
      <c r="K14" s="190">
        <f>((Tariffs!$E$36+(Tariffs!$F$36*'Secondary Voltage Power'!$H14)+(Tariffs!$G$36*'Secondary Voltage Power'!$G14)+(Tariffs!$I$36*'Secondary Voltage Power'!$H14)+(Tariffs!J$36*'Secondary Voltage Power'!$H14))*(1+Tariffs!$H$36))</f>
        <v>18882.629392566767</v>
      </c>
      <c r="L14" s="190">
        <f>((Tariffs!$E$36+(Tariffs!$F$36*'Secondary Voltage Power'!$H14)+(Tariffs!$G$36*'Secondary Voltage Power'!$G14)+(Tariffs!$I$36*'Secondary Voltage Power'!$H14)+(Tariffs!K$36*'Secondary Voltage Power'!$H14))*(1+Tariffs!$H$36))</f>
        <v>19707.024240815015</v>
      </c>
      <c r="M14" s="190">
        <f>((Tariffs!$E$36+(Tariffs!$F$36*'Secondary Voltage Power'!$H14)+(Tariffs!$G$36*'Secondary Voltage Power'!$G14)+(Tariffs!$I$36*'Secondary Voltage Power'!$H14)+(Tariffs!L$36*'Secondary Voltage Power'!$H14))*(1+Tariffs!$H$36))</f>
        <v>19771.537427732561</v>
      </c>
      <c r="N14" s="190"/>
      <c r="O14" s="190">
        <f t="shared" si="1"/>
        <v>727.82296108333321</v>
      </c>
      <c r="P14" s="190">
        <f t="shared" si="2"/>
        <v>1552.2178093315815</v>
      </c>
      <c r="Q14" s="190">
        <f t="shared" si="3"/>
        <v>1616.7309962491272</v>
      </c>
      <c r="R14" s="191">
        <f t="shared" si="4"/>
        <v>3896.7717666640419</v>
      </c>
      <c r="S14" s="190"/>
      <c r="T14" s="112">
        <f t="shared" si="5"/>
        <v>4.008982215426804E-2</v>
      </c>
      <c r="U14" s="112">
        <f t="shared" si="6"/>
        <v>8.5499000784705625E-2</v>
      </c>
      <c r="V14" s="112">
        <f t="shared" si="7"/>
        <v>8.9052505315917241E-2</v>
      </c>
      <c r="W14" s="192">
        <f t="shared" si="8"/>
        <v>0.21464132825489091</v>
      </c>
      <c r="X14" s="66"/>
    </row>
    <row r="15" spans="2:24" x14ac:dyDescent="0.3">
      <c r="B15" s="66"/>
      <c r="C15" s="133" t="s">
        <v>132</v>
      </c>
      <c r="D15" s="66"/>
      <c r="E15" s="143">
        <v>30</v>
      </c>
      <c r="F15" s="139">
        <v>6.7144136078782449E-3</v>
      </c>
      <c r="G15" s="140">
        <v>30.9</v>
      </c>
      <c r="H15" s="141">
        <v>19732.066666666666</v>
      </c>
      <c r="I15" s="190">
        <f>((Tariffs!$E$36+(Tariffs!$F$36*'Secondary Voltage Power'!$H15)+(Tariffs!$G$36*'Secondary Voltage Power'!$G15)+(Tariffs!$I$36*'Secondary Voltage Power'!$H15))*(1+Tariffs!$H$36))</f>
        <v>14728.098754120343</v>
      </c>
      <c r="J15" s="190"/>
      <c r="K15" s="190">
        <f>((Tariffs!$E$36+(Tariffs!$F$36*'Secondary Voltage Power'!$H15)+(Tariffs!$G$36*'Secondary Voltage Power'!$G15)+(Tariffs!$I$36*'Secondary Voltage Power'!$H15)+(Tariffs!J$36*'Secondary Voltage Power'!$H15))*(1+Tariffs!$H$36))</f>
        <v>15325.001170312009</v>
      </c>
      <c r="L15" s="190">
        <f>((Tariffs!$E$36+(Tariffs!$F$36*'Secondary Voltage Power'!$H15)+(Tariffs!$G$36*'Secondary Voltage Power'!$G15)+(Tariffs!$I$36*'Secondary Voltage Power'!$H15)+(Tariffs!K$36*'Secondary Voltage Power'!$H15))*(1+Tariffs!$H$36))</f>
        <v>16001.104155690342</v>
      </c>
      <c r="M15" s="190">
        <f>((Tariffs!$E$36+(Tariffs!$F$36*'Secondary Voltage Power'!$H15)+(Tariffs!$G$36*'Secondary Voltage Power'!$G15)+(Tariffs!$I$36*'Secondary Voltage Power'!$H15)+(Tariffs!L$36*'Secondary Voltage Power'!$H15))*(1+Tariffs!$H$36))</f>
        <v>16054.012732647008</v>
      </c>
      <c r="N15" s="190"/>
      <c r="O15" s="190">
        <f t="shared" si="1"/>
        <v>596.90241619166591</v>
      </c>
      <c r="P15" s="190">
        <f t="shared" si="2"/>
        <v>1273.0054015699989</v>
      </c>
      <c r="Q15" s="190">
        <f t="shared" si="3"/>
        <v>1325.9139785266652</v>
      </c>
      <c r="R15" s="191">
        <f t="shared" si="4"/>
        <v>3195.82179628833</v>
      </c>
      <c r="S15" s="190"/>
      <c r="T15" s="112">
        <f t="shared" si="5"/>
        <v>4.0528137823945265E-2</v>
      </c>
      <c r="U15" s="112">
        <f t="shared" si="6"/>
        <v>8.6433790458789739E-2</v>
      </c>
      <c r="V15" s="112">
        <f t="shared" si="7"/>
        <v>9.0026146664431206E-2</v>
      </c>
      <c r="W15" s="192">
        <f t="shared" si="8"/>
        <v>0.21698807494716621</v>
      </c>
      <c r="X15" s="66"/>
    </row>
    <row r="16" spans="2:24" x14ac:dyDescent="0.3">
      <c r="B16" s="66"/>
      <c r="C16" s="133" t="s">
        <v>133</v>
      </c>
      <c r="D16" s="66"/>
      <c r="E16" s="143">
        <v>4</v>
      </c>
      <c r="F16" s="139">
        <v>8.9525514771709937E-4</v>
      </c>
      <c r="G16" s="140">
        <v>12</v>
      </c>
      <c r="H16" s="141">
        <v>8611</v>
      </c>
      <c r="I16" s="190">
        <f>((Tariffs!$E$36+(Tariffs!$F$36*'Secondary Voltage Power'!$H16)+(Tariffs!$G$36*'Secondary Voltage Power'!$G16)+(Tariffs!$I$36*'Secondary Voltage Power'!$H16))*(1+Tariffs!$H$36))</f>
        <v>6443.7971825373224</v>
      </c>
      <c r="J16" s="190"/>
      <c r="K16" s="190">
        <f>((Tariffs!$E$36+(Tariffs!$F$36*'Secondary Voltage Power'!$H16)+(Tariffs!$G$36*'Secondary Voltage Power'!$G16)+(Tariffs!$I$36*'Secondary Voltage Power'!$H16)+(Tariffs!J$36*'Secondary Voltage Power'!$H16))*(1+Tariffs!$H$36))</f>
        <v>6704.2831616623225</v>
      </c>
      <c r="L16" s="190">
        <f>((Tariffs!$E$36+(Tariffs!$F$36*'Secondary Voltage Power'!$H16)+(Tariffs!$G$36*'Secondary Voltage Power'!$G16)+(Tariffs!$I$36*'Secondary Voltage Power'!$H16)+(Tariffs!K$36*'Secondary Voltage Power'!$H16))*(1+Tariffs!$H$36))</f>
        <v>6999.3319725873216</v>
      </c>
      <c r="M16" s="190">
        <f>((Tariffs!$E$36+(Tariffs!$F$36*'Secondary Voltage Power'!$H16)+(Tariffs!$G$36*'Secondary Voltage Power'!$G16)+(Tariffs!$I$36*'Secondary Voltage Power'!$H16)+(Tariffs!L$36*'Secondary Voltage Power'!$H16))*(1+Tariffs!$H$36))</f>
        <v>7022.4210774373223</v>
      </c>
      <c r="N16" s="190"/>
      <c r="O16" s="190">
        <f t="shared" si="1"/>
        <v>260.48597912500009</v>
      </c>
      <c r="P16" s="190">
        <f t="shared" si="2"/>
        <v>555.53479004999917</v>
      </c>
      <c r="Q16" s="190">
        <f t="shared" si="3"/>
        <v>578.62389489999987</v>
      </c>
      <c r="R16" s="191">
        <f t="shared" si="4"/>
        <v>1394.6446640749991</v>
      </c>
      <c r="S16" s="190"/>
      <c r="T16" s="112">
        <f t="shared" si="5"/>
        <v>4.0424298243110002E-2</v>
      </c>
      <c r="U16" s="112">
        <f t="shared" si="6"/>
        <v>8.6212333242811745E-2</v>
      </c>
      <c r="V16" s="112">
        <f t="shared" si="7"/>
        <v>8.979548525643688E-2</v>
      </c>
      <c r="W16" s="192">
        <f t="shared" si="8"/>
        <v>0.21643211674235863</v>
      </c>
      <c r="X16" s="66"/>
    </row>
    <row r="17" spans="2:24" x14ac:dyDescent="0.3">
      <c r="B17" s="66"/>
      <c r="C17" s="133" t="s">
        <v>134</v>
      </c>
      <c r="D17" s="66"/>
      <c r="E17" s="143">
        <v>1</v>
      </c>
      <c r="F17" s="139">
        <v>2.2381378692927484E-4</v>
      </c>
      <c r="G17" s="140">
        <v>5</v>
      </c>
      <c r="H17" s="141">
        <v>4221</v>
      </c>
      <c r="I17" s="190">
        <f>((Tariffs!$E$36+(Tariffs!$F$36*'Secondary Voltage Power'!$H17)+(Tariffs!$G$36*'Secondary Voltage Power'!$G17)+(Tariffs!$I$36*'Secondary Voltage Power'!$H17))*(1+Tariffs!$H$36))</f>
        <v>3187.8962173661639</v>
      </c>
      <c r="J17" s="190"/>
      <c r="K17" s="190">
        <f>((Tariffs!$E$36+(Tariffs!$F$36*'Secondary Voltage Power'!$H17)+(Tariffs!$G$36*'Secondary Voltage Power'!$G17)+(Tariffs!$I$36*'Secondary Voltage Power'!$H17)+(Tariffs!J$36*'Secondary Voltage Power'!$H17))*(1+Tariffs!$H$36))</f>
        <v>3315.5830502411636</v>
      </c>
      <c r="L17" s="190">
        <f>((Tariffs!$E$36+(Tariffs!$F$36*'Secondary Voltage Power'!$H17)+(Tariffs!$G$36*'Secondary Voltage Power'!$G17)+(Tariffs!$I$36*'Secondary Voltage Power'!$H17)+(Tariffs!K$36*'Secondary Voltage Power'!$H17))*(1+Tariffs!$H$36))</f>
        <v>3460.2121329161637</v>
      </c>
      <c r="M17" s="190">
        <f>((Tariffs!$E$36+(Tariffs!$F$36*'Secondary Voltage Power'!$H17)+(Tariffs!$G$36*'Secondary Voltage Power'!$G17)+(Tariffs!$I$36*'Secondary Voltage Power'!$H17)+(Tariffs!L$36*'Secondary Voltage Power'!$H17))*(1+Tariffs!$H$36))</f>
        <v>3471.5301112661637</v>
      </c>
      <c r="N17" s="190"/>
      <c r="O17" s="190">
        <f t="shared" si="1"/>
        <v>127.68683287499971</v>
      </c>
      <c r="P17" s="190">
        <f t="shared" si="2"/>
        <v>272.31591554999977</v>
      </c>
      <c r="Q17" s="190">
        <f t="shared" si="3"/>
        <v>283.63389389999975</v>
      </c>
      <c r="R17" s="191">
        <f t="shared" si="4"/>
        <v>683.63664232499923</v>
      </c>
      <c r="S17" s="190"/>
      <c r="T17" s="112">
        <f t="shared" si="5"/>
        <v>4.0053635428726198E-2</v>
      </c>
      <c r="U17" s="112">
        <f t="shared" si="6"/>
        <v>8.5421825863260636E-2</v>
      </c>
      <c r="V17" s="112">
        <f t="shared" si="7"/>
        <v>8.8972122854845459E-2</v>
      </c>
      <c r="W17" s="192">
        <f t="shared" si="8"/>
        <v>0.21444758414683229</v>
      </c>
      <c r="X17" s="66"/>
    </row>
    <row r="18" spans="2:24" x14ac:dyDescent="0.3">
      <c r="B18" s="66"/>
      <c r="C18" s="149" t="s">
        <v>135</v>
      </c>
      <c r="D18" s="137"/>
      <c r="E18" s="144">
        <v>1</v>
      </c>
      <c r="F18" s="145">
        <v>2.2381378692927484E-4</v>
      </c>
      <c r="G18" s="146">
        <v>5</v>
      </c>
      <c r="H18" s="147">
        <v>4668</v>
      </c>
      <c r="I18" s="148">
        <f>((Tariffs!$E$36+(Tariffs!$F$36*'Secondary Voltage Power'!$H18)+(Tariffs!$G$36*'Secondary Voltage Power'!$G18)+(Tariffs!$I$36*'Secondary Voltage Power'!$H18))*(1+Tariffs!$H$36))</f>
        <v>3497.3015444006755</v>
      </c>
      <c r="J18" s="148"/>
      <c r="K18" s="148">
        <f>((Tariffs!$E$36+(Tariffs!$F$36*'Secondary Voltage Power'!$H18)+(Tariffs!$G$36*'Secondary Voltage Power'!$G18)+(Tariffs!$I$36*'Secondary Voltage Power'!$H18)+(Tariffs!J$36*'Secondary Voltage Power'!$H18))*(1+Tariffs!$H$36))</f>
        <v>3638.5102949006755</v>
      </c>
      <c r="L18" s="148">
        <f>((Tariffs!$E$36+(Tariffs!$F$36*'Secondary Voltage Power'!$H18)+(Tariffs!$G$36*'Secondary Voltage Power'!$G18)+(Tariffs!$I$36*'Secondary Voltage Power'!$H18)+(Tariffs!K$36*'Secondary Voltage Power'!$H18))*(1+Tariffs!$H$36))</f>
        <v>3798.4554638006757</v>
      </c>
      <c r="M18" s="148">
        <f>((Tariffs!$E$36+(Tariffs!$F$36*'Secondary Voltage Power'!$H18)+(Tariffs!$G$36*'Secondary Voltage Power'!$G18)+(Tariffs!$I$36*'Secondary Voltage Power'!$H18)+(Tariffs!L$36*'Secondary Voltage Power'!$H18))*(1+Tariffs!$H$36))</f>
        <v>3810.9720056006754</v>
      </c>
      <c r="N18" s="148"/>
      <c r="O18" s="148">
        <f t="shared" si="1"/>
        <v>141.20875049999995</v>
      </c>
      <c r="P18" s="148">
        <f t="shared" si="2"/>
        <v>301.15391940000018</v>
      </c>
      <c r="Q18" s="148">
        <f t="shared" si="3"/>
        <v>313.67046119999986</v>
      </c>
      <c r="R18" s="193">
        <f t="shared" si="4"/>
        <v>756.03313109999999</v>
      </c>
      <c r="S18" s="148"/>
      <c r="T18" s="194">
        <f t="shared" si="5"/>
        <v>4.037648704501362E-2</v>
      </c>
      <c r="U18" s="194">
        <f t="shared" si="6"/>
        <v>8.6110366971975827E-2</v>
      </c>
      <c r="V18" s="194">
        <f t="shared" si="7"/>
        <v>8.9689281069343041E-2</v>
      </c>
      <c r="W18" s="195">
        <f t="shared" si="8"/>
        <v>0.21617613508633249</v>
      </c>
      <c r="X18" s="66"/>
    </row>
    <row r="19" spans="2:24" x14ac:dyDescent="0.3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111"/>
      <c r="X19" s="66"/>
    </row>
    <row r="20" spans="2:24" x14ac:dyDescent="0.3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</row>
  </sheetData>
  <mergeCells count="9">
    <mergeCell ref="T5:W5"/>
    <mergeCell ref="I4:W4"/>
    <mergeCell ref="C4:D6"/>
    <mergeCell ref="E4:E6"/>
    <mergeCell ref="F4:F6"/>
    <mergeCell ref="G4:G6"/>
    <mergeCell ref="H4:H6"/>
    <mergeCell ref="K5:M5"/>
    <mergeCell ref="O5:R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8164-F7D7-4C8D-A0EF-3C99022DA5C8}">
  <dimension ref="B2:V18"/>
  <sheetViews>
    <sheetView workbookViewId="0">
      <selection activeCell="C3" sqref="C3"/>
    </sheetView>
  </sheetViews>
  <sheetFormatPr defaultRowHeight="14.4" outlineLevelCol="1" x14ac:dyDescent="0.3"/>
  <cols>
    <col min="1" max="2" width="8.88671875" style="71"/>
    <col min="3" max="3" width="16.77734375" style="71" bestFit="1" customWidth="1"/>
    <col min="4" max="5" width="10.21875" style="71" customWidth="1"/>
    <col min="6" max="8" width="8.88671875" style="71"/>
    <col min="9" max="11" width="8.88671875" style="71" hidden="1" customWidth="1" outlineLevel="1"/>
    <col min="12" max="12" width="2.88671875" style="71" hidden="1" customWidth="1" outlineLevel="1"/>
    <col min="13" max="13" width="8.88671875" style="71" collapsed="1"/>
    <col min="14" max="15" width="8.88671875" style="71"/>
    <col min="16" max="16" width="11.77734375" style="71" customWidth="1"/>
    <col min="17" max="17" width="3.109375" style="71" customWidth="1"/>
    <col min="18" max="20" width="8.88671875" style="71"/>
    <col min="21" max="21" width="13.33203125" style="71" customWidth="1"/>
    <col min="22" max="16384" width="8.88671875" style="71"/>
  </cols>
  <sheetData>
    <row r="2" spans="2:2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2:22" ht="15" thickBot="1" x14ac:dyDescent="0.35">
      <c r="B3" s="66"/>
      <c r="C3" s="69" t="str">
        <f>"Large Power Tariff Bill Impacts"&amp;"-"&amp;'CETR Rate'!F2</f>
        <v>Large Power Tariff Bill Impacts-Clean Energy Transistion Plan Project 1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2:22" ht="14.4" customHeight="1" x14ac:dyDescent="0.3">
      <c r="B4" s="66"/>
      <c r="C4" s="269" t="s">
        <v>123</v>
      </c>
      <c r="D4" s="267" t="s">
        <v>136</v>
      </c>
      <c r="E4" s="267" t="s">
        <v>137</v>
      </c>
      <c r="F4" s="267" t="s">
        <v>138</v>
      </c>
      <c r="G4" s="267" t="s">
        <v>139</v>
      </c>
      <c r="H4" s="198"/>
      <c r="I4" s="198" t="s">
        <v>113</v>
      </c>
      <c r="J4" s="198"/>
      <c r="K4" s="198"/>
      <c r="L4" s="198"/>
      <c r="M4" s="267" t="s">
        <v>113</v>
      </c>
      <c r="N4" s="267"/>
      <c r="O4" s="267"/>
      <c r="P4" s="267"/>
      <c r="Q4" s="267"/>
      <c r="R4" s="267"/>
      <c r="S4" s="267"/>
      <c r="T4" s="267"/>
      <c r="U4" s="268"/>
      <c r="V4" s="66"/>
    </row>
    <row r="5" spans="2:22" ht="14.4" customHeight="1" x14ac:dyDescent="0.3">
      <c r="B5" s="66"/>
      <c r="C5" s="270"/>
      <c r="D5" s="271"/>
      <c r="E5" s="271"/>
      <c r="F5" s="271"/>
      <c r="G5" s="271"/>
      <c r="H5" s="197"/>
      <c r="I5" s="264" t="s">
        <v>95</v>
      </c>
      <c r="J5" s="264"/>
      <c r="K5" s="264"/>
      <c r="L5" s="197"/>
      <c r="M5" s="264" t="s">
        <v>141</v>
      </c>
      <c r="N5" s="264"/>
      <c r="O5" s="264"/>
      <c r="P5" s="264"/>
      <c r="Q5" s="196"/>
      <c r="R5" s="265" t="s">
        <v>142</v>
      </c>
      <c r="S5" s="265"/>
      <c r="T5" s="265"/>
      <c r="U5" s="266"/>
      <c r="V5" s="66"/>
    </row>
    <row r="6" spans="2:22" ht="28.8" x14ac:dyDescent="0.3">
      <c r="B6" s="66"/>
      <c r="C6" s="270"/>
      <c r="D6" s="271"/>
      <c r="E6" s="271"/>
      <c r="F6" s="271"/>
      <c r="G6" s="271"/>
      <c r="H6" s="196" t="s">
        <v>140</v>
      </c>
      <c r="I6" s="196">
        <v>2024</v>
      </c>
      <c r="J6" s="196">
        <v>2025</v>
      </c>
      <c r="K6" s="196">
        <v>2026</v>
      </c>
      <c r="L6" s="196"/>
      <c r="M6" s="196">
        <v>2024</v>
      </c>
      <c r="N6" s="196">
        <v>2025</v>
      </c>
      <c r="O6" s="196">
        <v>2026</v>
      </c>
      <c r="P6" s="196" t="s">
        <v>156</v>
      </c>
      <c r="Q6" s="196"/>
      <c r="R6" s="196">
        <v>2024</v>
      </c>
      <c r="S6" s="196">
        <v>2025</v>
      </c>
      <c r="T6" s="196">
        <v>2026</v>
      </c>
      <c r="U6" s="199" t="s">
        <v>156</v>
      </c>
      <c r="V6" s="66"/>
    </row>
    <row r="7" spans="2:22" x14ac:dyDescent="0.3">
      <c r="B7" s="66"/>
      <c r="C7" s="138" t="s">
        <v>124</v>
      </c>
      <c r="D7" s="140">
        <v>6</v>
      </c>
      <c r="E7" s="139">
        <v>4.4444444444444446E-2</v>
      </c>
      <c r="F7" s="140">
        <v>50</v>
      </c>
      <c r="G7" s="141">
        <v>560.5</v>
      </c>
      <c r="H7" s="200">
        <f>(Tariffs!$E$37+($G7*Tariffs!$F$37)+('Large Power'!$F7*Tariffs!$G$37)+('Large Power'!$G7*Tariffs!$I$36))*(1+Tariffs!$H$36)</f>
        <v>3107.1876396875709</v>
      </c>
      <c r="I7" s="200">
        <f>(Tariffs!$E$37+($G7*Tariffs!$F$37)+('Large Power'!$F7*Tariffs!$G$37)+('Large Power'!$G7*Tariffs!$I$36)+($G7*Tariffs!J$37))*(1+Tariffs!$H$36)</f>
        <v>3124.0066472625708</v>
      </c>
      <c r="J7" s="200">
        <f>(Tariffs!$E$37+($G7*Tariffs!$F$37)+('Large Power'!$F7*Tariffs!$G$37)+('Large Power'!$G7*Tariffs!$I$36)+($G7*Tariffs!K$37))*(1+Tariffs!$H$36)</f>
        <v>3143.0569492875707</v>
      </c>
      <c r="K7" s="200">
        <f>(Tariffs!$E$37+($G7*Tariffs!$F$37)+('Large Power'!$F7*Tariffs!$G$37)+('Large Power'!$G7*Tariffs!$I$36)+($G7*Tariffs!L$37))*(1+Tariffs!$H$36)</f>
        <v>3144.5473328000708</v>
      </c>
      <c r="L7" s="200"/>
      <c r="M7" s="200">
        <f>I7-$H7</f>
        <v>16.819007574999887</v>
      </c>
      <c r="N7" s="200">
        <f t="shared" ref="N7:O7" si="0">J7-$H7</f>
        <v>35.869309599999724</v>
      </c>
      <c r="O7" s="200">
        <f t="shared" si="0"/>
        <v>37.359693112499826</v>
      </c>
      <c r="P7" s="200">
        <f>SUM(M7:O7)</f>
        <v>90.048010287499437</v>
      </c>
      <c r="Q7" s="200"/>
      <c r="R7" s="112">
        <f>I7/$H7-1</f>
        <v>5.4129359167671698E-3</v>
      </c>
      <c r="S7" s="112">
        <f t="shared" ref="S7:T7" si="1">J7/$H7-1</f>
        <v>1.1543979237638391E-2</v>
      </c>
      <c r="T7" s="112">
        <f t="shared" si="1"/>
        <v>1.2023635983649861E-2</v>
      </c>
      <c r="U7" s="201">
        <f>SUM(R7:T7)</f>
        <v>2.8980551138055421E-2</v>
      </c>
      <c r="V7" s="66"/>
    </row>
    <row r="8" spans="2:22" x14ac:dyDescent="0.3">
      <c r="B8" s="66"/>
      <c r="C8" s="138" t="s">
        <v>125</v>
      </c>
      <c r="D8" s="140">
        <v>5</v>
      </c>
      <c r="E8" s="139">
        <v>3.7037037037037035E-2</v>
      </c>
      <c r="F8" s="140">
        <v>51.6</v>
      </c>
      <c r="G8" s="141">
        <v>1538.6</v>
      </c>
      <c r="H8" s="200">
        <f>(Tariffs!$E$37+($G8*Tariffs!$F$37)+('Large Power'!$F8*Tariffs!$G$37)+('Large Power'!$G8*Tariffs!$I$36))*(1+Tariffs!$H$36)</f>
        <v>3812.0581773832218</v>
      </c>
      <c r="I8" s="200">
        <f>(Tariffs!$E$37+($G8*Tariffs!$F$37)+('Large Power'!$F8*Tariffs!$G$37)+('Large Power'!$G8*Tariffs!$I$36)+($G8*Tariffs!J$37))*(1+Tariffs!$H$36)</f>
        <v>3858.2271783732222</v>
      </c>
      <c r="J8" s="200">
        <f>(Tariffs!$E$37+($G8*Tariffs!$F$37)+('Large Power'!$F8*Tariffs!$G$37)+('Large Power'!$G8*Tariffs!$I$36)+($G8*Tariffs!K$37))*(1+Tariffs!$H$36)</f>
        <v>3910.5211921032219</v>
      </c>
      <c r="K8" s="200">
        <f>(Tariffs!$E$37+($G8*Tariffs!$F$37)+('Large Power'!$F8*Tariffs!$G$37)+('Large Power'!$G8*Tariffs!$I$36)+($G8*Tariffs!L$37))*(1+Tariffs!$H$36)</f>
        <v>3914.6123679682223</v>
      </c>
      <c r="L8" s="200"/>
      <c r="M8" s="200">
        <f t="shared" ref="M8:M16" si="2">I8-$H8</f>
        <v>46.169000990000313</v>
      </c>
      <c r="N8" s="200">
        <f t="shared" ref="N8:N16" si="3">J8-$H8</f>
        <v>98.463014720000047</v>
      </c>
      <c r="O8" s="200">
        <f t="shared" ref="O8:O16" si="4">K8-$H8</f>
        <v>102.55419058500047</v>
      </c>
      <c r="P8" s="200">
        <f t="shared" ref="P8:P16" si="5">SUM(M8:O8)</f>
        <v>247.18620629500083</v>
      </c>
      <c r="Q8" s="200"/>
      <c r="R8" s="112">
        <f t="shared" ref="R8:R16" si="6">I8/$H8-1</f>
        <v>1.2111305452765286E-2</v>
      </c>
      <c r="S8" s="112">
        <f t="shared" ref="S8:S16" si="7">J8/$H8-1</f>
        <v>2.5829357826744781E-2</v>
      </c>
      <c r="T8" s="112">
        <f t="shared" ref="T8:T16" si="8">K8/$H8-1</f>
        <v>2.6902577508772119E-2</v>
      </c>
      <c r="U8" s="201">
        <f t="shared" ref="U8:U16" si="9">SUM(R8:T8)</f>
        <v>6.4843240788282186E-2</v>
      </c>
      <c r="V8" s="66"/>
    </row>
    <row r="9" spans="2:22" x14ac:dyDescent="0.3">
      <c r="B9" s="66"/>
      <c r="C9" s="138" t="s">
        <v>126</v>
      </c>
      <c r="D9" s="140">
        <v>13</v>
      </c>
      <c r="E9" s="139">
        <v>9.6296296296296297E-2</v>
      </c>
      <c r="F9" s="140">
        <v>213.92307692307693</v>
      </c>
      <c r="G9" s="141">
        <v>15543.615384615385</v>
      </c>
      <c r="H9" s="200">
        <f>(Tariffs!$E$37+($G9*Tariffs!$F$37)+('Large Power'!$F9*Tariffs!$G$37)+('Large Power'!$G9*Tariffs!$I$36))*(1+Tariffs!$H$36)</f>
        <v>18434.17700224707</v>
      </c>
      <c r="I9" s="200">
        <f>(Tariffs!$E$37+($G9*Tariffs!$F$37)+('Large Power'!$F9*Tariffs!$G$37)+('Large Power'!$G9*Tariffs!$I$36)+($G9*Tariffs!J$37))*(1+Tariffs!$H$36)</f>
        <v>18900.596600635534</v>
      </c>
      <c r="J9" s="200">
        <f>(Tariffs!$E$37+($G9*Tariffs!$F$37)+('Large Power'!$F9*Tariffs!$G$37)+('Large Power'!$G9*Tariffs!$I$36)+($G9*Tariffs!K$37))*(1+Tariffs!$H$36)</f>
        <v>19428.893777508612</v>
      </c>
      <c r="K9" s="200">
        <f>(Tariffs!$E$37+($G9*Tariffs!$F$37)+('Large Power'!$F9*Tariffs!$G$37)+('Large Power'!$G9*Tariffs!$I$36)+($G9*Tariffs!L$37))*(1+Tariffs!$H$36)</f>
        <v>19470.22463940669</v>
      </c>
      <c r="L9" s="200"/>
      <c r="M9" s="200">
        <f t="shared" si="2"/>
        <v>466.41959838846378</v>
      </c>
      <c r="N9" s="200">
        <f t="shared" si="3"/>
        <v>994.71677526154235</v>
      </c>
      <c r="O9" s="200">
        <f t="shared" si="4"/>
        <v>1036.0476371596196</v>
      </c>
      <c r="P9" s="200">
        <f t="shared" si="5"/>
        <v>2497.1840108096258</v>
      </c>
      <c r="Q9" s="200"/>
      <c r="R9" s="112">
        <f t="shared" si="6"/>
        <v>2.5301894320077789E-2</v>
      </c>
      <c r="S9" s="112">
        <f t="shared" si="7"/>
        <v>5.3960465668756896E-2</v>
      </c>
      <c r="T9" s="112">
        <f t="shared" si="8"/>
        <v>5.6202543624992218E-2</v>
      </c>
      <c r="U9" s="201">
        <f t="shared" si="9"/>
        <v>0.1354649036138269</v>
      </c>
      <c r="V9" s="66"/>
    </row>
    <row r="10" spans="2:22" x14ac:dyDescent="0.3">
      <c r="B10" s="66"/>
      <c r="C10" s="138" t="s">
        <v>127</v>
      </c>
      <c r="D10" s="140">
        <v>13</v>
      </c>
      <c r="E10" s="139">
        <v>9.6296296296296297E-2</v>
      </c>
      <c r="F10" s="140">
        <v>184.46153846153845</v>
      </c>
      <c r="G10" s="141">
        <v>29854.692307692309</v>
      </c>
      <c r="H10" s="200">
        <f>(Tariffs!$E$37+($G10*Tariffs!$F$37)+('Large Power'!$F10*Tariffs!$G$37)+('Large Power'!$G10*Tariffs!$I$36))*(1+Tariffs!$H$36)</f>
        <v>27029.751604924535</v>
      </c>
      <c r="I10" s="200">
        <f>(Tariffs!$E$37+($G10*Tariffs!$F$37)+('Large Power'!$F10*Tariffs!$G$37)+('Large Power'!$G10*Tariffs!$I$36)+($G10*Tariffs!J$37))*(1+Tariffs!$H$36)</f>
        <v>27925.605835205308</v>
      </c>
      <c r="J10" s="200">
        <f>(Tariffs!$E$37+($G10*Tariffs!$F$37)+('Large Power'!$F10*Tariffs!$G$37)+('Large Power'!$G10*Tariffs!$I$36)+($G10*Tariffs!K$37))*(1+Tariffs!$H$36)</f>
        <v>28940.308610093765</v>
      </c>
      <c r="K10" s="200">
        <f>(Tariffs!$E$37+($G10*Tariffs!$F$37)+('Large Power'!$F10*Tariffs!$G$37)+('Large Power'!$G10*Tariffs!$I$36)+($G10*Tariffs!L$37))*(1+Tariffs!$H$36)</f>
        <v>29019.692983307228</v>
      </c>
      <c r="L10" s="200"/>
      <c r="M10" s="200">
        <f t="shared" si="2"/>
        <v>895.85423028077275</v>
      </c>
      <c r="N10" s="200">
        <f t="shared" si="3"/>
        <v>1910.5570051692303</v>
      </c>
      <c r="O10" s="200">
        <f t="shared" si="4"/>
        <v>1989.9413783826931</v>
      </c>
      <c r="P10" s="200">
        <f t="shared" si="5"/>
        <v>4796.3526138326961</v>
      </c>
      <c r="Q10" s="200"/>
      <c r="R10" s="112">
        <f t="shared" si="6"/>
        <v>3.3143265368282382E-2</v>
      </c>
      <c r="S10" s="112">
        <f t="shared" si="7"/>
        <v>7.0683483632944188E-2</v>
      </c>
      <c r="T10" s="112">
        <f t="shared" si="8"/>
        <v>7.3620409372172846E-2</v>
      </c>
      <c r="U10" s="201">
        <f t="shared" si="9"/>
        <v>0.17744715837339942</v>
      </c>
      <c r="V10" s="66"/>
    </row>
    <row r="11" spans="2:22" x14ac:dyDescent="0.3">
      <c r="B11" s="66"/>
      <c r="C11" s="138" t="s">
        <v>128</v>
      </c>
      <c r="D11" s="140">
        <v>23</v>
      </c>
      <c r="E11" s="139">
        <v>0.17037037037037037</v>
      </c>
      <c r="F11" s="140">
        <v>268.13043478260869</v>
      </c>
      <c r="G11" s="141">
        <v>68847.304347826081</v>
      </c>
      <c r="H11" s="200">
        <f>(Tariffs!$E$37+($G11*Tariffs!$F$37)+('Large Power'!$F11*Tariffs!$G$37)+('Large Power'!$G11*Tariffs!$I$36))*(1+Tariffs!$H$36)</f>
        <v>55775.888593101379</v>
      </c>
      <c r="I11" s="200">
        <f>(Tariffs!$E$37+($G11*Tariffs!$F$37)+('Large Power'!$F11*Tariffs!$G$37)+('Large Power'!$G11*Tariffs!$I$36)+($G11*Tariffs!J$37))*(1+Tariffs!$H$36)</f>
        <v>57841.799981762255</v>
      </c>
      <c r="J11" s="200">
        <f>(Tariffs!$E$37+($G11*Tariffs!$F$37)+('Large Power'!$F11*Tariffs!$G$37)+('Large Power'!$G11*Tariffs!$I$36)+($G11*Tariffs!K$37))*(1+Tariffs!$H$36)</f>
        <v>60181.785604301382</v>
      </c>
      <c r="K11" s="200">
        <f>(Tariffs!$E$37+($G11*Tariffs!$F$37)+('Large Power'!$F11*Tariffs!$G$37)+('Large Power'!$G11*Tariffs!$I$36)+($G11*Tariffs!L$37))*(1+Tariffs!$H$36)</f>
        <v>60364.852307744855</v>
      </c>
      <c r="L11" s="200"/>
      <c r="M11" s="200">
        <f t="shared" si="2"/>
        <v>2065.9113886608757</v>
      </c>
      <c r="N11" s="200">
        <f t="shared" si="3"/>
        <v>4405.8970112000025</v>
      </c>
      <c r="O11" s="200">
        <f t="shared" si="4"/>
        <v>4588.9637146434761</v>
      </c>
      <c r="P11" s="200">
        <f t="shared" si="5"/>
        <v>11060.772114504354</v>
      </c>
      <c r="Q11" s="200"/>
      <c r="R11" s="112">
        <f t="shared" si="6"/>
        <v>3.7039506510280873E-2</v>
      </c>
      <c r="S11" s="112">
        <f t="shared" si="7"/>
        <v>7.8992860935700904E-2</v>
      </c>
      <c r="T11" s="112">
        <f t="shared" si="8"/>
        <v>8.2275044475240477E-2</v>
      </c>
      <c r="U11" s="201">
        <f t="shared" si="9"/>
        <v>0.19830741192122225</v>
      </c>
      <c r="V11" s="66"/>
    </row>
    <row r="12" spans="2:22" x14ac:dyDescent="0.3">
      <c r="B12" s="66"/>
      <c r="C12" s="138" t="s">
        <v>129</v>
      </c>
      <c r="D12" s="140">
        <v>35</v>
      </c>
      <c r="E12" s="139">
        <v>0.25925925925925924</v>
      </c>
      <c r="F12" s="140">
        <v>363.77142857142854</v>
      </c>
      <c r="G12" s="141">
        <v>127510.6</v>
      </c>
      <c r="H12" s="200">
        <f>(Tariffs!$E$37+($G12*Tariffs!$F$37)+('Large Power'!$F12*Tariffs!$G$37)+('Large Power'!$G12*Tariffs!$I$36))*(1+Tariffs!$H$36)</f>
        <v>98041.301882062296</v>
      </c>
      <c r="I12" s="200">
        <f>(Tariffs!$E$37+($G12*Tariffs!$F$37)+('Large Power'!$F12*Tariffs!$G$37)+('Large Power'!$G12*Tariffs!$I$36)+($G12*Tariffs!J$37))*(1+Tariffs!$H$36)</f>
        <v>101867.5315828523</v>
      </c>
      <c r="J12" s="200">
        <f>(Tariffs!$E$37+($G12*Tariffs!$F$37)+('Large Power'!$F12*Tariffs!$G$37)+('Large Power'!$G12*Tariffs!$I$36)+($G12*Tariffs!K$37))*(1+Tariffs!$H$36)</f>
        <v>106201.36823118231</v>
      </c>
      <c r="K12" s="200">
        <f>(Tariffs!$E$37+($G12*Tariffs!$F$37)+('Large Power'!$F12*Tariffs!$G$37)+('Large Power'!$G12*Tariffs!$I$36)+($G12*Tariffs!L$37))*(1+Tariffs!$H$36)</f>
        <v>106540.42210434731</v>
      </c>
      <c r="L12" s="200"/>
      <c r="M12" s="200">
        <f t="shared" si="2"/>
        <v>3826.2297007900052</v>
      </c>
      <c r="N12" s="200">
        <f t="shared" si="3"/>
        <v>8160.0663491200103</v>
      </c>
      <c r="O12" s="200">
        <f t="shared" si="4"/>
        <v>8499.1202222850116</v>
      </c>
      <c r="P12" s="200">
        <f t="shared" si="5"/>
        <v>20485.416272195027</v>
      </c>
      <c r="Q12" s="200"/>
      <c r="R12" s="112">
        <f t="shared" si="6"/>
        <v>3.9026712490953352E-2</v>
      </c>
      <c r="S12" s="112">
        <f t="shared" si="7"/>
        <v>8.3230905674182898E-2</v>
      </c>
      <c r="T12" s="112">
        <f t="shared" si="8"/>
        <v>8.6689181591131259E-2</v>
      </c>
      <c r="U12" s="201">
        <f t="shared" si="9"/>
        <v>0.20894679975626751</v>
      </c>
      <c r="V12" s="66"/>
    </row>
    <row r="13" spans="2:22" x14ac:dyDescent="0.3">
      <c r="B13" s="66"/>
      <c r="C13" s="138" t="s">
        <v>130</v>
      </c>
      <c r="D13" s="140">
        <v>27</v>
      </c>
      <c r="E13" s="139">
        <v>0.2</v>
      </c>
      <c r="F13" s="140">
        <v>452.88888888888891</v>
      </c>
      <c r="G13" s="141">
        <v>201810.48148148149</v>
      </c>
      <c r="H13" s="200">
        <f>(Tariffs!$E$37+($G13*Tariffs!$F$37)+('Large Power'!$F13*Tariffs!$G$37)+('Large Power'!$G13*Tariffs!$I$36))*(1+Tariffs!$H$36)</f>
        <v>150532.30327683469</v>
      </c>
      <c r="I13" s="200">
        <f>(Tariffs!$E$37+($G13*Tariffs!$F$37)+('Large Power'!$F13*Tariffs!$G$37)+('Large Power'!$G13*Tariffs!$I$36)+($G13*Tariffs!J$37))*(1+Tariffs!$H$36)</f>
        <v>156588.06066622172</v>
      </c>
      <c r="J13" s="200">
        <f>(Tariffs!$E$37+($G13*Tariffs!$F$37)+('Large Power'!$F13*Tariffs!$G$37)+('Large Power'!$G13*Tariffs!$I$36)+($G13*Tariffs!K$37))*(1+Tariffs!$H$36)</f>
        <v>163447.20540133837</v>
      </c>
      <c r="K13" s="200">
        <f>(Tariffs!$E$37+($G13*Tariffs!$F$37)+('Large Power'!$F13*Tariffs!$G$37)+('Large Power'!$G13*Tariffs!$I$36)+($G13*Tariffs!L$37))*(1+Tariffs!$H$36)</f>
        <v>163983.82451685969</v>
      </c>
      <c r="L13" s="200"/>
      <c r="M13" s="200">
        <f t="shared" si="2"/>
        <v>6055.7573893870285</v>
      </c>
      <c r="N13" s="200">
        <f t="shared" si="3"/>
        <v>12914.902124503686</v>
      </c>
      <c r="O13" s="200">
        <f t="shared" si="4"/>
        <v>13451.521240025002</v>
      </c>
      <c r="P13" s="200">
        <f t="shared" si="5"/>
        <v>32422.180753915716</v>
      </c>
      <c r="Q13" s="200"/>
      <c r="R13" s="112">
        <f t="shared" si="6"/>
        <v>4.0228955895601048E-2</v>
      </c>
      <c r="S13" s="112">
        <f t="shared" si="7"/>
        <v>8.5794888162660232E-2</v>
      </c>
      <c r="T13" s="112">
        <f t="shared" si="8"/>
        <v>8.9359698531199294E-2</v>
      </c>
      <c r="U13" s="201">
        <f t="shared" si="9"/>
        <v>0.21538354258946057</v>
      </c>
      <c r="V13" s="66"/>
    </row>
    <row r="14" spans="2:22" x14ac:dyDescent="0.3">
      <c r="B14" s="66"/>
      <c r="C14" s="138" t="s">
        <v>131</v>
      </c>
      <c r="D14" s="140">
        <v>8</v>
      </c>
      <c r="E14" s="139">
        <v>5.9259259259259262E-2</v>
      </c>
      <c r="F14" s="140">
        <v>666.5</v>
      </c>
      <c r="G14" s="141">
        <v>361357.125</v>
      </c>
      <c r="H14" s="200">
        <f>(Tariffs!$E$37+($G14*Tariffs!$F$37)+('Large Power'!$F14*Tariffs!$G$37)+('Large Power'!$G14*Tariffs!$I$36))*(1+Tariffs!$H$36)</f>
        <v>263970.75301333424</v>
      </c>
      <c r="I14" s="200">
        <f>(Tariffs!$E$37+($G14*Tariffs!$F$37)+('Large Power'!$F14*Tariffs!$G$37)+('Large Power'!$G14*Tariffs!$I$36)+($G14*Tariffs!J$37))*(1+Tariffs!$H$36)</f>
        <v>274814.05046677805</v>
      </c>
      <c r="J14" s="200">
        <f>(Tariffs!$E$37+($G14*Tariffs!$F$37)+('Large Power'!$F14*Tariffs!$G$37)+('Large Power'!$G14*Tariffs!$I$36)+($G14*Tariffs!K$37))*(1+Tariffs!$H$36)</f>
        <v>287095.87449913425</v>
      </c>
      <c r="K14" s="200">
        <f>(Tariffs!$E$37+($G14*Tariffs!$F$37)+('Large Power'!$F14*Tariffs!$G$37)+('Large Power'!$G14*Tariffs!$I$36)+($G14*Tariffs!L$37))*(1+Tariffs!$H$36)</f>
        <v>288056.73212843738</v>
      </c>
      <c r="L14" s="200"/>
      <c r="M14" s="200">
        <f t="shared" si="2"/>
        <v>10843.297453443811</v>
      </c>
      <c r="N14" s="200">
        <f t="shared" si="3"/>
        <v>23125.121485800017</v>
      </c>
      <c r="O14" s="200">
        <f t="shared" si="4"/>
        <v>24085.979115103139</v>
      </c>
      <c r="P14" s="200">
        <f t="shared" si="5"/>
        <v>58054.398054346966</v>
      </c>
      <c r="Q14" s="200"/>
      <c r="R14" s="112">
        <f t="shared" si="6"/>
        <v>4.1077647162282682E-2</v>
      </c>
      <c r="S14" s="112">
        <f t="shared" si="7"/>
        <v>8.7604862363793279E-2</v>
      </c>
      <c r="T14" s="112">
        <f t="shared" si="8"/>
        <v>9.124487785162505E-2</v>
      </c>
      <c r="U14" s="201">
        <f t="shared" si="9"/>
        <v>0.21992738737770101</v>
      </c>
      <c r="V14" s="66"/>
    </row>
    <row r="15" spans="2:22" x14ac:dyDescent="0.3">
      <c r="B15" s="66"/>
      <c r="C15" s="138" t="s">
        <v>132</v>
      </c>
      <c r="D15" s="140">
        <v>4</v>
      </c>
      <c r="E15" s="139">
        <v>2.9629629629629631E-2</v>
      </c>
      <c r="F15" s="140">
        <v>149</v>
      </c>
      <c r="G15" s="141">
        <v>95099.75</v>
      </c>
      <c r="H15" s="200">
        <f>(Tariffs!$E$37+($G15*Tariffs!$F$37)+('Large Power'!$F15*Tariffs!$G$37)+('Large Power'!$G15*Tariffs!$I$36))*(1+Tariffs!$H$36)</f>
        <v>69429.179336312256</v>
      </c>
      <c r="I15" s="200">
        <f>(Tariffs!$E$37+($G15*Tariffs!$F$37)+('Large Power'!$F15*Tariffs!$G$37)+('Large Power'!$G15*Tariffs!$I$36)+($G15*Tariffs!J$37))*(1+Tariffs!$H$36)</f>
        <v>72282.851799524768</v>
      </c>
      <c r="J15" s="200">
        <f>(Tariffs!$E$37+($G15*Tariffs!$F$37)+('Large Power'!$F15*Tariffs!$G$37)+('Large Power'!$G15*Tariffs!$I$36)+($G15*Tariffs!K$37))*(1+Tariffs!$H$36)</f>
        <v>75515.106857512263</v>
      </c>
      <c r="K15" s="200">
        <f>(Tariffs!$E$37+($G15*Tariffs!$F$37)+('Large Power'!$F15*Tariffs!$G$37)+('Large Power'!$G15*Tariffs!$I$36)+($G15*Tariffs!L$37))*(1+Tariffs!$H$36)</f>
        <v>75767.979470256018</v>
      </c>
      <c r="L15" s="200"/>
      <c r="M15" s="200">
        <f t="shared" si="2"/>
        <v>2853.6724632125115</v>
      </c>
      <c r="N15" s="200">
        <f t="shared" si="3"/>
        <v>6085.9275212000066</v>
      </c>
      <c r="O15" s="200">
        <f t="shared" si="4"/>
        <v>6338.8001339437615</v>
      </c>
      <c r="P15" s="200">
        <f t="shared" si="5"/>
        <v>15278.40011835628</v>
      </c>
      <c r="Q15" s="200"/>
      <c r="R15" s="112">
        <f t="shared" si="6"/>
        <v>4.1101918393553705E-2</v>
      </c>
      <c r="S15" s="112">
        <f t="shared" si="7"/>
        <v>8.7656624770401148E-2</v>
      </c>
      <c r="T15" s="112">
        <f t="shared" si="8"/>
        <v>9.1298791005995694E-2</v>
      </c>
      <c r="U15" s="201">
        <f t="shared" si="9"/>
        <v>0.22005733416995055</v>
      </c>
      <c r="V15" s="66"/>
    </row>
    <row r="16" spans="2:22" ht="15" thickBot="1" x14ac:dyDescent="0.35">
      <c r="B16" s="66"/>
      <c r="C16" s="202" t="s">
        <v>133</v>
      </c>
      <c r="D16" s="203">
        <v>1</v>
      </c>
      <c r="E16" s="204">
        <v>7.4074074074074077E-3</v>
      </c>
      <c r="F16" s="203">
        <v>120</v>
      </c>
      <c r="G16" s="205">
        <v>84987</v>
      </c>
      <c r="H16" s="206">
        <f>(Tariffs!$E$37+($G16*Tariffs!$F$37)+('Large Power'!$F16*Tariffs!$G$37)+('Large Power'!$G16*Tariffs!$I$36))*(1+Tariffs!$H$36)</f>
        <v>61736.674782118731</v>
      </c>
      <c r="I16" s="206">
        <f>(Tariffs!$E$37+($G16*Tariffs!$F$37)+('Large Power'!$F16*Tariffs!$G$37)+('Large Power'!$G16*Tariffs!$I$36)+($G16*Tariffs!J$37))*(1+Tariffs!$H$36)</f>
        <v>64286.892439168732</v>
      </c>
      <c r="J16" s="206">
        <f>(Tariffs!$E$37+($G16*Tariffs!$F$37)+('Large Power'!$F16*Tariffs!$G$37)+('Large Power'!$G16*Tariffs!$I$36)+($G16*Tariffs!K$37))*(1+Tariffs!$H$36)</f>
        <v>67175.434844518735</v>
      </c>
      <c r="K16" s="206">
        <f>(Tariffs!$E$37+($G16*Tariffs!$F$37)+('Large Power'!$F16*Tariffs!$G$37)+('Large Power'!$G16*Tariffs!$I$36)+($G16*Tariffs!L$37))*(1+Tariffs!$H$36)</f>
        <v>67401.417402193722</v>
      </c>
      <c r="L16" s="206"/>
      <c r="M16" s="206">
        <f t="shared" si="2"/>
        <v>2550.2176570500014</v>
      </c>
      <c r="N16" s="206">
        <f t="shared" si="3"/>
        <v>5438.7600624000042</v>
      </c>
      <c r="O16" s="206">
        <f t="shared" si="4"/>
        <v>5664.7426200749906</v>
      </c>
      <c r="P16" s="206">
        <f t="shared" si="5"/>
        <v>13653.720339524996</v>
      </c>
      <c r="Q16" s="206"/>
      <c r="R16" s="207">
        <f t="shared" si="6"/>
        <v>4.1307985343399745E-2</v>
      </c>
      <c r="S16" s="207">
        <f t="shared" si="7"/>
        <v>8.8096096551919745E-2</v>
      </c>
      <c r="T16" s="207">
        <f t="shared" si="8"/>
        <v>9.1756523007872071E-2</v>
      </c>
      <c r="U16" s="208">
        <f t="shared" si="9"/>
        <v>0.22116060490319156</v>
      </c>
      <c r="V16" s="66"/>
    </row>
    <row r="17" spans="2:22" x14ac:dyDescent="0.3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</row>
    <row r="18" spans="2:22" x14ac:dyDescent="0.3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</row>
  </sheetData>
  <mergeCells count="9">
    <mergeCell ref="I5:K5"/>
    <mergeCell ref="M5:P5"/>
    <mergeCell ref="R5:U5"/>
    <mergeCell ref="M4:U4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684CD-EA4F-4B1D-8AE5-A8C2DB79D7EA}">
  <dimension ref="B2:V29"/>
  <sheetViews>
    <sheetView workbookViewId="0">
      <selection activeCell="Q11" sqref="Q11"/>
    </sheetView>
  </sheetViews>
  <sheetFormatPr defaultRowHeight="14.4" outlineLevelCol="1" x14ac:dyDescent="0.3"/>
  <cols>
    <col min="1" max="2" width="8.88671875" style="71"/>
    <col min="3" max="3" width="12.77734375" style="71" customWidth="1"/>
    <col min="4" max="4" width="12.21875" style="71" customWidth="1"/>
    <col min="5" max="5" width="12" style="71" customWidth="1"/>
    <col min="6" max="6" width="15.5546875" style="71" customWidth="1"/>
    <col min="7" max="7" width="15" style="71" customWidth="1"/>
    <col min="8" max="10" width="12.109375" style="71" hidden="1" customWidth="1" outlineLevel="1"/>
    <col min="11" max="11" width="3.6640625" style="71" hidden="1" customWidth="1" outlineLevel="1"/>
    <col min="12" max="12" width="11.109375" style="71" bestFit="1" customWidth="1" collapsed="1"/>
    <col min="13" max="14" width="11.109375" style="71" customWidth="1"/>
    <col min="15" max="15" width="11.44140625" style="71" bestFit="1" customWidth="1"/>
    <col min="16" max="16" width="3.6640625" style="71" customWidth="1"/>
    <col min="17" max="19" width="8.88671875" style="71"/>
    <col min="20" max="20" width="11.6640625" style="71" customWidth="1"/>
    <col min="21" max="22" width="12.109375" style="71" bestFit="1" customWidth="1"/>
    <col min="23" max="23" width="11.109375" style="71" bestFit="1" customWidth="1"/>
    <col min="24" max="16384" width="8.88671875" style="71"/>
  </cols>
  <sheetData>
    <row r="2" spans="2:2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2:22" x14ac:dyDescent="0.3">
      <c r="B3" s="66"/>
      <c r="C3" s="69" t="str">
        <f>"Time of Use Tariff Bill Impacts"&amp;"-"&amp;'CETR Rate'!F2</f>
        <v>Time of Use Tariff Bill Impacts-Clean Energy Transistion Plan Project 1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2:22" ht="14.4" customHeight="1" x14ac:dyDescent="0.3">
      <c r="B4" s="66"/>
      <c r="C4" s="69"/>
      <c r="D4" s="111"/>
      <c r="E4" s="111"/>
      <c r="F4" s="150"/>
      <c r="G4" s="111"/>
      <c r="H4" s="274" t="s">
        <v>113</v>
      </c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5"/>
      <c r="U4" s="66"/>
      <c r="V4" s="66"/>
    </row>
    <row r="5" spans="2:22" ht="14.4" customHeight="1" x14ac:dyDescent="0.3">
      <c r="B5" s="66"/>
      <c r="C5" s="156"/>
      <c r="D5" s="111"/>
      <c r="E5" s="111"/>
      <c r="F5" s="150"/>
      <c r="G5" s="111"/>
      <c r="H5" s="272" t="s">
        <v>95</v>
      </c>
      <c r="I5" s="272"/>
      <c r="J5" s="272"/>
      <c r="K5" s="211"/>
      <c r="L5" s="272" t="s">
        <v>141</v>
      </c>
      <c r="M5" s="272"/>
      <c r="N5" s="272"/>
      <c r="O5" s="272"/>
      <c r="P5" s="211"/>
      <c r="Q5" s="272" t="s">
        <v>142</v>
      </c>
      <c r="R5" s="272"/>
      <c r="S5" s="272"/>
      <c r="T5" s="273"/>
      <c r="U5" s="66"/>
      <c r="V5" s="66"/>
    </row>
    <row r="6" spans="2:22" ht="46.2" customHeight="1" x14ac:dyDescent="0.3">
      <c r="B6" s="66"/>
      <c r="C6" s="154" t="s">
        <v>143</v>
      </c>
      <c r="D6" s="155" t="s">
        <v>144</v>
      </c>
      <c r="E6" s="155" t="s">
        <v>145</v>
      </c>
      <c r="F6" s="155" t="s">
        <v>138</v>
      </c>
      <c r="G6" s="155" t="s">
        <v>140</v>
      </c>
      <c r="H6" s="211">
        <v>2024</v>
      </c>
      <c r="I6" s="211">
        <v>2025</v>
      </c>
      <c r="J6" s="211">
        <v>2026</v>
      </c>
      <c r="K6" s="211"/>
      <c r="L6" s="211">
        <v>2024</v>
      </c>
      <c r="M6" s="211">
        <v>2025</v>
      </c>
      <c r="N6" s="211">
        <v>2026</v>
      </c>
      <c r="O6" s="211" t="s">
        <v>156</v>
      </c>
      <c r="P6" s="211"/>
      <c r="Q6" s="211">
        <v>2024</v>
      </c>
      <c r="R6" s="211">
        <v>2025</v>
      </c>
      <c r="S6" s="211">
        <v>2026</v>
      </c>
      <c r="T6" s="212" t="s">
        <v>156</v>
      </c>
      <c r="U6" s="66"/>
      <c r="V6" s="66"/>
    </row>
    <row r="7" spans="2:22" x14ac:dyDescent="0.3">
      <c r="B7" s="66"/>
      <c r="C7" s="151">
        <v>195.41218130311614</v>
      </c>
      <c r="D7" s="143">
        <v>61966</v>
      </c>
      <c r="E7" s="143">
        <v>75995</v>
      </c>
      <c r="F7" s="143">
        <v>706</v>
      </c>
      <c r="G7" s="75">
        <f>(Tariffs!$E$41+(Tariffs!$E$43*'Time of Use'!$D7)+(Tariffs!$E$44*'Time of Use'!$E7)+(Tariffs!$E$46*'Time of Use'!$F7)+((Tariffs!$E$48*Tariffs!$I$36)*'Time of Use'!$D7)+((Tariffs!$E$49*Tariffs!$I$36)*'Time of Use'!$E7))*(1+Tariffs!$H$36)</f>
        <v>110608.66604985629</v>
      </c>
      <c r="H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Use'!$E7)*Tariffs!E$52))*(1+Tariffs!$H$36)</f>
        <v>114748.48247100628</v>
      </c>
      <c r="I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Use'!$E7)*Tariffs!F$52))*(1+Tariffs!$H$36)</f>
        <v>119437.5078370563</v>
      </c>
      <c r="J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Use'!$E7)*Tariffs!G$52))*(1+Tariffs!$H$36)</f>
        <v>119804.34958508129</v>
      </c>
      <c r="K7" s="75"/>
      <c r="L7" s="75">
        <f>H7-$G7</f>
        <v>4139.816421149997</v>
      </c>
      <c r="M7" s="75">
        <f t="shared" ref="M7:N7" si="0">I7-$G7</f>
        <v>8828.8417872000136</v>
      </c>
      <c r="N7" s="75">
        <f t="shared" si="0"/>
        <v>9195.6835352250055</v>
      </c>
      <c r="O7" s="214">
        <f>SUM(L7:N7)</f>
        <v>22164.341743575016</v>
      </c>
      <c r="P7" s="75"/>
      <c r="Q7" s="112">
        <f>H7/$G7-1</f>
        <v>3.7427595585358464E-2</v>
      </c>
      <c r="R7" s="112">
        <f t="shared" ref="R7:S7" si="1">I7/$G7-1</f>
        <v>7.9820524941693671E-2</v>
      </c>
      <c r="S7" s="112">
        <f t="shared" si="1"/>
        <v>8.3137098236770068E-2</v>
      </c>
      <c r="T7" s="180">
        <f>SUM(Q7:S7)</f>
        <v>0.2003852187638222</v>
      </c>
      <c r="U7" s="66"/>
      <c r="V7" s="66"/>
    </row>
    <row r="8" spans="2:22" x14ac:dyDescent="0.3">
      <c r="B8" s="66"/>
      <c r="C8" s="151">
        <v>244.05903398926654</v>
      </c>
      <c r="D8" s="143">
        <v>43142</v>
      </c>
      <c r="E8" s="143">
        <v>93287</v>
      </c>
      <c r="F8" s="143">
        <v>559</v>
      </c>
      <c r="G8" s="75">
        <f>(Tariffs!$E$41+(Tariffs!$E$43*'Time of Use'!$D8)+(Tariffs!$E$44*'Time of Use'!$E8)+(Tariffs!$E$46*'Time of Use'!$F8)+((Tariffs!$E$48*Tariffs!$I$36)*'Time of Use'!$D8)+((Tariffs!$E$49*Tariffs!$I$36)*'Time of Use'!$E8))*(1+Tariffs!$H$36)</f>
        <v>101172.93998631478</v>
      </c>
      <c r="H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Use'!$E8)*Tariffs!E$52))*(1+Tariffs!$H$36)</f>
        <v>105266.78545366479</v>
      </c>
      <c r="I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Use'!$E8)*Tariffs!F$52))*(1+Tariffs!$H$36)</f>
        <v>109903.74112711479</v>
      </c>
      <c r="J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Use'!$E8)*Tariffs!G$52))*(1+Tariffs!$H$36)</f>
        <v>110266.50924883978</v>
      </c>
      <c r="K8" s="75"/>
      <c r="L8" s="75">
        <f t="shared" ref="L8:L22" si="2">H8-$G8</f>
        <v>4093.8454673500091</v>
      </c>
      <c r="M8" s="75">
        <f t="shared" ref="M8:M22" si="3">I8-$G8</f>
        <v>8730.801140800002</v>
      </c>
      <c r="N8" s="75">
        <f t="shared" ref="N8:N22" si="4">J8-$G8</f>
        <v>9093.569262524994</v>
      </c>
      <c r="O8" s="214">
        <f t="shared" ref="O8:O22" si="5">SUM(L8:N8)</f>
        <v>21918.215870675005</v>
      </c>
      <c r="P8" s="75"/>
      <c r="Q8" s="112">
        <f t="shared" ref="Q8:Q26" si="6">H8/$G8-1</f>
        <v>4.0463838136005181E-2</v>
      </c>
      <c r="R8" s="112">
        <f t="shared" ref="R8:R26" si="7">I8/$G8-1</f>
        <v>8.6295813307204261E-2</v>
      </c>
      <c r="S8" s="112">
        <f t="shared" ref="S8:S26" si="8">J8/$G8-1</f>
        <v>8.988143730680398E-2</v>
      </c>
      <c r="T8" s="180">
        <f t="shared" ref="T8:T26" si="9">SUM(Q8:S8)</f>
        <v>0.21664108875001342</v>
      </c>
      <c r="U8" s="66"/>
      <c r="V8" s="66"/>
    </row>
    <row r="9" spans="2:22" x14ac:dyDescent="0.3">
      <c r="B9" s="66"/>
      <c r="C9" s="151">
        <v>308.73634945397816</v>
      </c>
      <c r="D9" s="143">
        <v>71595</v>
      </c>
      <c r="E9" s="143">
        <v>126305</v>
      </c>
      <c r="F9" s="143">
        <v>641</v>
      </c>
      <c r="G9" s="75">
        <f>(Tariffs!$E$41+(Tariffs!$E$43*'Time of Use'!$D9)+(Tariffs!$E$44*'Time of Use'!$E9)+(Tariffs!$E$46*'Time of Use'!$F9)+((Tariffs!$E$48*Tariffs!$I$36)*'Time of Use'!$D9)+((Tariffs!$E$49*Tariffs!$I$36)*'Time of Use'!$E9))*(1+Tariffs!$H$36)</f>
        <v>145625.53516186064</v>
      </c>
      <c r="H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Use'!$E9)*Tariffs!E$52))*(1+Tariffs!$H$36)</f>
        <v>151563.95014686065</v>
      </c>
      <c r="I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Use'!$E9)*Tariffs!F$52))*(1+Tariffs!$H$36)</f>
        <v>158290.18524186063</v>
      </c>
      <c r="J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Use'!$E9)*Tariffs!G$52))*(1+Tariffs!$H$36)</f>
        <v>158816.40628936066</v>
      </c>
      <c r="K9" s="75"/>
      <c r="L9" s="75">
        <f t="shared" si="2"/>
        <v>5938.4149850000103</v>
      </c>
      <c r="M9" s="75">
        <f t="shared" si="3"/>
        <v>12664.650079999992</v>
      </c>
      <c r="N9" s="75">
        <f t="shared" si="4"/>
        <v>13190.871127500024</v>
      </c>
      <c r="O9" s="214">
        <f t="shared" si="5"/>
        <v>31793.936192500027</v>
      </c>
      <c r="P9" s="75"/>
      <c r="Q9" s="112">
        <f t="shared" si="6"/>
        <v>4.0778665488848231E-2</v>
      </c>
      <c r="R9" s="112">
        <f t="shared" si="7"/>
        <v>8.6967234598818166E-2</v>
      </c>
      <c r="S9" s="112">
        <f t="shared" si="8"/>
        <v>9.0580756409503138E-2</v>
      </c>
      <c r="T9" s="180">
        <f t="shared" si="9"/>
        <v>0.21832665649716954</v>
      </c>
      <c r="U9" s="66"/>
      <c r="V9" s="66"/>
    </row>
    <row r="10" spans="2:22" x14ac:dyDescent="0.3">
      <c r="B10" s="66"/>
      <c r="C10" s="151">
        <v>365.29595015576325</v>
      </c>
      <c r="D10" s="143">
        <v>40924</v>
      </c>
      <c r="E10" s="143">
        <v>76336</v>
      </c>
      <c r="F10" s="143">
        <v>321</v>
      </c>
      <c r="G10" s="75">
        <f>(Tariffs!$E$41+(Tariffs!$E$43*'Time of Use'!$D10)+(Tariffs!$E$44*'Time of Use'!$E10)+(Tariffs!$E$46*'Time of Use'!$F10)+((Tariffs!$E$48*Tariffs!$I$36)*'Time of Use'!$D10)+((Tariffs!$E$49*Tariffs!$I$36)*'Time of Use'!$E10))*(1+Tariffs!$H$36)</f>
        <v>84751.122946383897</v>
      </c>
      <c r="H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Use'!$E10)*Tariffs!E$52))*(1+Tariffs!$H$36)</f>
        <v>88269.761355383904</v>
      </c>
      <c r="I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Use'!$E10)*Tariffs!F$52))*(1+Tariffs!$H$36)</f>
        <v>92255.20009838391</v>
      </c>
      <c r="J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Use'!$E10)*Tariffs!G$52))*(1+Tariffs!$H$36)</f>
        <v>92566.997369883902</v>
      </c>
      <c r="K10" s="75"/>
      <c r="L10" s="75">
        <f t="shared" si="2"/>
        <v>3518.6384090000065</v>
      </c>
      <c r="M10" s="75">
        <f t="shared" si="3"/>
        <v>7504.0771520000126</v>
      </c>
      <c r="N10" s="75">
        <f t="shared" si="4"/>
        <v>7815.8744235000049</v>
      </c>
      <c r="O10" s="214">
        <f t="shared" si="5"/>
        <v>18838.589984500024</v>
      </c>
      <c r="P10" s="75"/>
      <c r="Q10" s="112">
        <f t="shared" si="6"/>
        <v>4.1517307224660627E-2</v>
      </c>
      <c r="R10" s="112">
        <f t="shared" si="7"/>
        <v>8.854251001190061E-2</v>
      </c>
      <c r="S10" s="112">
        <f t="shared" si="8"/>
        <v>9.2221485117601976E-2</v>
      </c>
      <c r="T10" s="180">
        <f t="shared" si="9"/>
        <v>0.22228130235416321</v>
      </c>
      <c r="U10" s="66"/>
      <c r="V10" s="66"/>
    </row>
    <row r="11" spans="2:22" x14ac:dyDescent="0.3">
      <c r="B11" s="66"/>
      <c r="C11" s="151">
        <v>380.75342465753425</v>
      </c>
      <c r="D11" s="143">
        <v>8793</v>
      </c>
      <c r="E11" s="143">
        <v>19002</v>
      </c>
      <c r="F11" s="143">
        <v>73</v>
      </c>
      <c r="G11" s="75">
        <f>(Tariffs!$E$41+(Tariffs!$E$43*'Time of Use'!$D11)+(Tariffs!$E$44*'Time of Use'!$E11)+(Tariffs!$E$46*'Time of Use'!$F11)+((Tariffs!$E$48*Tariffs!$I$36)*'Time of Use'!$D11)+((Tariffs!$E$49*Tariffs!$I$36)*'Time of Use'!$E11))*(1+Tariffs!$H$36)</f>
        <v>20029.177336304725</v>
      </c>
      <c r="H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Use'!$E11)*Tariffs!E$52))*(1+Tariffs!$H$36)</f>
        <v>20863.226070554727</v>
      </c>
      <c r="I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Use'!$E11)*Tariffs!F$52))*(1+Tariffs!$H$36)</f>
        <v>21807.923920304729</v>
      </c>
      <c r="J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Use'!$E11)*Tariffs!G$52))*(1+Tariffs!$H$36)</f>
        <v>21881.83152017973</v>
      </c>
      <c r="K11" s="75"/>
      <c r="L11" s="75">
        <f t="shared" si="2"/>
        <v>834.04873425000187</v>
      </c>
      <c r="M11" s="75">
        <f t="shared" si="3"/>
        <v>1778.7465840000041</v>
      </c>
      <c r="N11" s="75">
        <f t="shared" si="4"/>
        <v>1852.6541838750054</v>
      </c>
      <c r="O11" s="214">
        <f t="shared" si="5"/>
        <v>4465.4495021250113</v>
      </c>
      <c r="P11" s="75"/>
      <c r="Q11" s="112">
        <f t="shared" si="6"/>
        <v>4.1641687037151209E-2</v>
      </c>
      <c r="R11" s="112">
        <f t="shared" si="7"/>
        <v>8.8807770490696214E-2</v>
      </c>
      <c r="S11" s="112">
        <f t="shared" si="8"/>
        <v>9.2497767270595777E-2</v>
      </c>
      <c r="T11" s="180">
        <f t="shared" si="9"/>
        <v>0.2229472247984432</v>
      </c>
      <c r="U11" s="66"/>
      <c r="V11" s="66"/>
    </row>
    <row r="12" spans="2:22" x14ac:dyDescent="0.3">
      <c r="B12" s="66"/>
      <c r="C12" s="151">
        <v>434.0128205128205</v>
      </c>
      <c r="D12" s="143">
        <v>22284</v>
      </c>
      <c r="E12" s="143">
        <v>45422</v>
      </c>
      <c r="F12" s="143">
        <v>156</v>
      </c>
      <c r="G12" s="75">
        <f>(Tariffs!$E$41+(Tariffs!$E$43*'Time of Use'!$D12)+(Tariffs!$E$44*'Time of Use'!$E12)+(Tariffs!$E$46*'Time of Use'!$F12)+((Tariffs!$E$48*Tariffs!$I$36)*'Time of Use'!$D12)+((Tariffs!$E$49*Tariffs!$I$36)*'Time of Use'!$E12))*(1+Tariffs!$H$36)</f>
        <v>48072.804455736448</v>
      </c>
      <c r="H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Use'!$E12)*Tariffs!E$52))*(1+Tariffs!$H$36)</f>
        <v>50104.468553636449</v>
      </c>
      <c r="I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Use'!$E12)*Tariffs!F$52))*(1+Tariffs!$H$36)</f>
        <v>52405.663466936443</v>
      </c>
      <c r="J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Use'!$E12)*Tariffs!G$52))*(1+Tariffs!$H$36)</f>
        <v>52585.695413586451</v>
      </c>
      <c r="K12" s="75"/>
      <c r="L12" s="75">
        <f t="shared" si="2"/>
        <v>2031.6640979000003</v>
      </c>
      <c r="M12" s="75">
        <f t="shared" si="3"/>
        <v>4332.8590111999947</v>
      </c>
      <c r="N12" s="75">
        <f t="shared" si="4"/>
        <v>4512.8909578500025</v>
      </c>
      <c r="O12" s="214">
        <f t="shared" si="5"/>
        <v>10877.414066949998</v>
      </c>
      <c r="P12" s="75"/>
      <c r="Q12" s="112">
        <f t="shared" si="6"/>
        <v>4.2262233728649568E-2</v>
      </c>
      <c r="R12" s="112">
        <f t="shared" si="7"/>
        <v>9.0131188730408374E-2</v>
      </c>
      <c r="S12" s="112">
        <f t="shared" si="8"/>
        <v>9.387617404358628E-2</v>
      </c>
      <c r="T12" s="180">
        <f t="shared" si="9"/>
        <v>0.22626959650264422</v>
      </c>
      <c r="U12" s="66"/>
      <c r="V12" s="66"/>
    </row>
    <row r="13" spans="2:22" x14ac:dyDescent="0.3">
      <c r="B13" s="66"/>
      <c r="C13" s="151">
        <v>470.43421052631578</v>
      </c>
      <c r="D13" s="143">
        <v>21329</v>
      </c>
      <c r="E13" s="143">
        <v>50177</v>
      </c>
      <c r="F13" s="143">
        <v>152</v>
      </c>
      <c r="G13" s="75">
        <f>(Tariffs!$E$41+(Tariffs!$E$43*'Time of Use'!$D13)+(Tariffs!$E$44*'Time of Use'!$E13)+(Tariffs!$E$46*'Time of Use'!$F13)+((Tariffs!$E$48*Tariffs!$I$36)*'Time of Use'!$D13)+((Tariffs!$E$49*Tariffs!$I$36)*'Time of Use'!$E13))*(1+Tariffs!$H$36)</f>
        <v>49840.616391360752</v>
      </c>
      <c r="H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Use'!$E13)*Tariffs!E$52))*(1+Tariffs!$H$36)</f>
        <v>51986.307659260747</v>
      </c>
      <c r="I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Use'!$E13)*Tariffs!F$52))*(1+Tariffs!$H$36)</f>
        <v>54416.657162560747</v>
      </c>
      <c r="J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Use'!$E13)*Tariffs!G$52))*(1+Tariffs!$H$36)</f>
        <v>54606.793404210752</v>
      </c>
      <c r="K13" s="75"/>
      <c r="L13" s="75">
        <f t="shared" si="2"/>
        <v>2145.6912678999943</v>
      </c>
      <c r="M13" s="75">
        <f t="shared" si="3"/>
        <v>4576.0407711999942</v>
      </c>
      <c r="N13" s="75">
        <f t="shared" si="4"/>
        <v>4766.1770128499993</v>
      </c>
      <c r="O13" s="214">
        <f t="shared" si="5"/>
        <v>11487.909051949988</v>
      </c>
      <c r="P13" s="75"/>
      <c r="Q13" s="112">
        <f t="shared" si="6"/>
        <v>4.3051058017651744E-2</v>
      </c>
      <c r="R13" s="112">
        <f t="shared" si="7"/>
        <v>9.1813486720705884E-2</v>
      </c>
      <c r="S13" s="112">
        <f t="shared" si="8"/>
        <v>9.5628372157856356E-2</v>
      </c>
      <c r="T13" s="180">
        <f t="shared" si="9"/>
        <v>0.23049291689621398</v>
      </c>
      <c r="U13" s="66"/>
      <c r="V13" s="66"/>
    </row>
    <row r="14" spans="2:22" x14ac:dyDescent="0.3">
      <c r="B14" s="66"/>
      <c r="C14" s="151">
        <v>497.28629032258067</v>
      </c>
      <c r="D14" s="143">
        <v>40262</v>
      </c>
      <c r="E14" s="143">
        <v>83065</v>
      </c>
      <c r="F14" s="143">
        <v>248</v>
      </c>
      <c r="G14" s="75">
        <f>(Tariffs!$E$41+(Tariffs!$E$43*'Time of Use'!$D14)+(Tariffs!$E$44*'Time of Use'!$E14)+(Tariffs!$E$46*'Time of Use'!$F14)+((Tariffs!$E$48*Tariffs!$I$36)*'Time of Use'!$D14)+((Tariffs!$E$49*Tariffs!$I$36)*'Time of Use'!$E14))*(1+Tariffs!$H$36)</f>
        <v>86415.302693335892</v>
      </c>
      <c r="H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Use'!$E14)*Tariffs!E$52))*(1+Tariffs!$H$36)</f>
        <v>90115.994481385889</v>
      </c>
      <c r="I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Use'!$E14)*Tariffs!F$52))*(1+Tariffs!$H$36)</f>
        <v>94307.638723735887</v>
      </c>
      <c r="J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Use'!$E14)*Tariffs!G$52))*(1+Tariffs!$H$36)</f>
        <v>94635.568299910883</v>
      </c>
      <c r="K14" s="75"/>
      <c r="L14" s="75">
        <f t="shared" si="2"/>
        <v>3700.6917880499968</v>
      </c>
      <c r="M14" s="75">
        <f t="shared" si="3"/>
        <v>7892.3360303999943</v>
      </c>
      <c r="N14" s="75">
        <f t="shared" si="4"/>
        <v>8220.2656065749907</v>
      </c>
      <c r="O14" s="214">
        <f t="shared" si="5"/>
        <v>19813.293425024982</v>
      </c>
      <c r="P14" s="75"/>
      <c r="Q14" s="112">
        <f t="shared" si="6"/>
        <v>4.282449604073868E-2</v>
      </c>
      <c r="R14" s="112">
        <f t="shared" si="7"/>
        <v>9.1330305911300425E-2</v>
      </c>
      <c r="S14" s="112">
        <f t="shared" si="8"/>
        <v>9.5125115001291505E-2</v>
      </c>
      <c r="T14" s="180">
        <f t="shared" si="9"/>
        <v>0.22927991695333061</v>
      </c>
      <c r="U14" s="66"/>
      <c r="V14" s="66"/>
    </row>
    <row r="15" spans="2:22" x14ac:dyDescent="0.3">
      <c r="B15" s="66"/>
      <c r="C15" s="151">
        <v>524.93687707641197</v>
      </c>
      <c r="D15" s="143">
        <v>101139</v>
      </c>
      <c r="E15" s="143">
        <v>214873</v>
      </c>
      <c r="F15" s="143">
        <v>602</v>
      </c>
      <c r="G15" s="75">
        <f>(Tariffs!$E$41+(Tariffs!$E$43*'Time of Use'!$D15)+(Tariffs!$E$44*'Time of Use'!$E15)+(Tariffs!$E$46*'Time of Use'!$F15)+((Tariffs!$E$48*Tariffs!$I$36)*'Time of Use'!$D15)+((Tariffs!$E$49*Tariffs!$I$36)*'Time of Use'!$E15))*(1+Tariffs!$H$36)</f>
        <v>219582.00834913983</v>
      </c>
      <c r="H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Use'!$E15)*Tariffs!E$52))*(1+Tariffs!$H$36)</f>
        <v>229064.62783493981</v>
      </c>
      <c r="I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Use'!$E15)*Tariffs!F$52))*(1+Tariffs!$H$36)</f>
        <v>239805.25949153979</v>
      </c>
      <c r="J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Use'!$E15)*Tariffs!G$52))*(1+Tariffs!$H$36)</f>
        <v>240645.5432998398</v>
      </c>
      <c r="K15" s="75"/>
      <c r="L15" s="75">
        <f t="shared" si="2"/>
        <v>9482.6194857999799</v>
      </c>
      <c r="M15" s="75">
        <f t="shared" si="3"/>
        <v>20223.251142399968</v>
      </c>
      <c r="N15" s="75">
        <f t="shared" si="4"/>
        <v>21063.534950699977</v>
      </c>
      <c r="O15" s="214">
        <f t="shared" si="5"/>
        <v>50769.405578899925</v>
      </c>
      <c r="P15" s="75"/>
      <c r="Q15" s="112">
        <f t="shared" si="6"/>
        <v>4.3184865450007326E-2</v>
      </c>
      <c r="R15" s="112">
        <f t="shared" si="7"/>
        <v>9.2098853154874982E-2</v>
      </c>
      <c r="S15" s="112">
        <f t="shared" si="8"/>
        <v>9.5925595676347619E-2</v>
      </c>
      <c r="T15" s="180">
        <f t="shared" si="9"/>
        <v>0.23120931428122993</v>
      </c>
      <c r="U15" s="66"/>
      <c r="V15" s="66"/>
    </row>
    <row r="16" spans="2:22" x14ac:dyDescent="0.3">
      <c r="B16" s="66"/>
      <c r="C16" s="151">
        <v>538.9</v>
      </c>
      <c r="D16" s="143">
        <v>18646</v>
      </c>
      <c r="E16" s="143">
        <v>40633</v>
      </c>
      <c r="F16" s="143">
        <v>110</v>
      </c>
      <c r="G16" s="75">
        <f>(Tariffs!$E$41+(Tariffs!$E$43*'Time of Use'!$D16)+(Tariffs!$E$44*'Time of Use'!$E16)+(Tariffs!$E$46*'Time of Use'!$F16)+((Tariffs!$E$48*Tariffs!$I$36)*'Time of Use'!$D16)+((Tariffs!$E$49*Tariffs!$I$36)*'Time of Use'!$E16))*(1+Tariffs!$H$36)</f>
        <v>41319.973393243024</v>
      </c>
      <c r="H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Use'!$E16)*Tariffs!E$52))*(1+Tariffs!$H$36)</f>
        <v>43098.767238093031</v>
      </c>
      <c r="I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Use'!$E16)*Tariffs!F$52))*(1+Tariffs!$H$36)</f>
        <v>45113.544854043022</v>
      </c>
      <c r="J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Use'!$E16)*Tariffs!G$52))*(1+Tariffs!$H$36)</f>
        <v>45271.169197018033</v>
      </c>
      <c r="K16" s="75"/>
      <c r="L16" s="75">
        <f t="shared" si="2"/>
        <v>1778.7938448500063</v>
      </c>
      <c r="M16" s="75">
        <f t="shared" si="3"/>
        <v>3793.571460799998</v>
      </c>
      <c r="N16" s="75">
        <f t="shared" si="4"/>
        <v>3951.1958037750082</v>
      </c>
      <c r="O16" s="214">
        <f t="shared" si="5"/>
        <v>9523.5611094250125</v>
      </c>
      <c r="P16" s="75"/>
      <c r="Q16" s="112">
        <f t="shared" si="6"/>
        <v>4.3049249522045585E-2</v>
      </c>
      <c r="R16" s="112">
        <f t="shared" si="7"/>
        <v>9.1809629805336579E-2</v>
      </c>
      <c r="S16" s="112">
        <f t="shared" si="8"/>
        <v>9.5624354986180604E-2</v>
      </c>
      <c r="T16" s="180">
        <f t="shared" si="9"/>
        <v>0.23048323431356277</v>
      </c>
      <c r="U16" s="66"/>
      <c r="V16" s="66"/>
    </row>
    <row r="17" spans="2:22" x14ac:dyDescent="0.3">
      <c r="B17" s="66"/>
      <c r="C17" s="151">
        <v>549.03546099290782</v>
      </c>
      <c r="D17" s="143">
        <v>24463</v>
      </c>
      <c r="E17" s="143">
        <v>52951</v>
      </c>
      <c r="F17" s="143">
        <v>141</v>
      </c>
      <c r="G17" s="75">
        <f>(Tariffs!$E$41+(Tariffs!$E$43*'Time of Use'!$D17)+(Tariffs!$E$44*'Time of Use'!$E17)+(Tariffs!$E$46*'Time of Use'!$F17)+((Tariffs!$E$48*Tariffs!$I$36)*'Time of Use'!$D17)+((Tariffs!$E$49*Tariffs!$I$36)*'Time of Use'!$E17))*(1+Tariffs!$H$36)</f>
        <v>53829.647264778054</v>
      </c>
      <c r="H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Use'!$E17)*Tariffs!E$52))*(1+Tariffs!$H$36)</f>
        <v>56152.620774878051</v>
      </c>
      <c r="I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Use'!$E17)*Tariffs!F$52))*(1+Tariffs!$H$36)</f>
        <v>58783.771677578057</v>
      </c>
      <c r="J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Use'!$E17)*Tariffs!G$52))*(1+Tariffs!$H$36)</f>
        <v>58989.617438928057</v>
      </c>
      <c r="K17" s="75"/>
      <c r="L17" s="75">
        <f t="shared" si="2"/>
        <v>2322.9735100999969</v>
      </c>
      <c r="M17" s="75">
        <f t="shared" si="3"/>
        <v>4954.1244128000035</v>
      </c>
      <c r="N17" s="75">
        <f t="shared" si="4"/>
        <v>5159.970174150003</v>
      </c>
      <c r="O17" s="214">
        <f t="shared" si="5"/>
        <v>12437.068097050003</v>
      </c>
      <c r="P17" s="75"/>
      <c r="Q17" s="112">
        <f t="shared" si="6"/>
        <v>4.3154165559988078E-2</v>
      </c>
      <c r="R17" s="112">
        <f t="shared" si="7"/>
        <v>9.203338057244892E-2</v>
      </c>
      <c r="S17" s="112">
        <f t="shared" si="8"/>
        <v>9.5857402683117376E-2</v>
      </c>
      <c r="T17" s="180">
        <f t="shared" si="9"/>
        <v>0.23104494881555437</v>
      </c>
      <c r="U17" s="66"/>
      <c r="V17" s="66"/>
    </row>
    <row r="18" spans="2:22" x14ac:dyDescent="0.3">
      <c r="B18" s="66"/>
      <c r="C18" s="151">
        <v>571.96818181818185</v>
      </c>
      <c r="D18" s="143">
        <v>39744</v>
      </c>
      <c r="E18" s="143">
        <v>86089</v>
      </c>
      <c r="F18" s="143">
        <v>220</v>
      </c>
      <c r="G18" s="75">
        <f>(Tariffs!$E$41+(Tariffs!$E$43*'Time of Use'!$D18)+(Tariffs!$E$44*'Time of Use'!$E18)+(Tariffs!$E$46*'Time of Use'!$F18)+((Tariffs!$E$48*Tariffs!$I$36)*'Time of Use'!$D18)+((Tariffs!$E$49*Tariffs!$I$36)*'Time of Use'!$E18))*(1+Tariffs!$H$36)</f>
        <v>87077.194671944031</v>
      </c>
      <c r="H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Use'!$E18)*Tariffs!E$52))*(1+Tariffs!$H$36)</f>
        <v>90853.084377894033</v>
      </c>
      <c r="I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Use'!$E18)*Tariffs!F$52))*(1+Tariffs!$H$36)</f>
        <v>95129.902673544027</v>
      </c>
      <c r="J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Use'!$E18)*Tariffs!G$52))*(1+Tariffs!$H$36)</f>
        <v>95464.495766369029</v>
      </c>
      <c r="K18" s="75"/>
      <c r="L18" s="75">
        <f t="shared" si="2"/>
        <v>3775.8897059500014</v>
      </c>
      <c r="M18" s="75">
        <f t="shared" si="3"/>
        <v>8052.7080015999964</v>
      </c>
      <c r="N18" s="75">
        <f t="shared" si="4"/>
        <v>8387.3010944249982</v>
      </c>
      <c r="O18" s="214">
        <f t="shared" si="5"/>
        <v>20215.898801974996</v>
      </c>
      <c r="P18" s="75"/>
      <c r="Q18" s="112">
        <f t="shared" si="6"/>
        <v>4.3362555720534379E-2</v>
      </c>
      <c r="R18" s="112">
        <f t="shared" si="7"/>
        <v>9.2477806984226918E-2</v>
      </c>
      <c r="S18" s="112">
        <f t="shared" si="8"/>
        <v>9.6320295182033E-2</v>
      </c>
      <c r="T18" s="180">
        <f t="shared" si="9"/>
        <v>0.2321606578867943</v>
      </c>
      <c r="U18" s="66"/>
      <c r="V18" s="66"/>
    </row>
    <row r="19" spans="2:22" x14ac:dyDescent="0.3">
      <c r="B19" s="66"/>
      <c r="C19" s="151">
        <v>572.14966887417222</v>
      </c>
      <c r="D19" s="143">
        <v>137049</v>
      </c>
      <c r="E19" s="143">
        <v>294924</v>
      </c>
      <c r="F19" s="143">
        <v>755</v>
      </c>
      <c r="G19" s="75">
        <f>(Tariffs!$E$41+(Tariffs!$E$43*'Time of Use'!$D19)+(Tariffs!$E$44*'Time of Use'!$E19)+(Tariffs!$E$46*'Time of Use'!$F19)+((Tariffs!$E$48*Tariffs!$I$36)*'Time of Use'!$D19)+((Tariffs!$E$49*Tariffs!$I$36)*'Time of Use'!$E19))*(1+Tariffs!$H$36)</f>
        <v>298242.8948959519</v>
      </c>
      <c r="H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Use'!$E19)*Tariffs!E$52))*(1+Tariffs!$H$36)</f>
        <v>311205.17350290192</v>
      </c>
      <c r="I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Use'!$E19)*Tariffs!F$52))*(1+Tariffs!$H$36)</f>
        <v>325887.0934255519</v>
      </c>
      <c r="J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Use'!$E19)*Tariffs!G$52))*(1+Tariffs!$H$36)</f>
        <v>327035.72043187689</v>
      </c>
      <c r="K19" s="75"/>
      <c r="L19" s="75">
        <f t="shared" si="2"/>
        <v>12962.278606950014</v>
      </c>
      <c r="M19" s="75">
        <f t="shared" si="3"/>
        <v>27644.198529599991</v>
      </c>
      <c r="N19" s="75">
        <f t="shared" si="4"/>
        <v>28792.825535924989</v>
      </c>
      <c r="O19" s="214">
        <f t="shared" si="5"/>
        <v>69399.302672474994</v>
      </c>
      <c r="P19" s="75"/>
      <c r="Q19" s="112">
        <f t="shared" si="6"/>
        <v>4.3462153931520087E-2</v>
      </c>
      <c r="R19" s="112">
        <f t="shared" si="7"/>
        <v>9.2690216607655529E-2</v>
      </c>
      <c r="S19" s="112">
        <f t="shared" si="8"/>
        <v>9.654153050643477E-2</v>
      </c>
      <c r="T19" s="180">
        <f t="shared" si="9"/>
        <v>0.23269390104561039</v>
      </c>
      <c r="U19" s="66"/>
      <c r="V19" s="66"/>
    </row>
    <row r="20" spans="2:22" x14ac:dyDescent="0.3">
      <c r="B20" s="66"/>
      <c r="C20" s="151">
        <v>601.71428571428567</v>
      </c>
      <c r="D20" s="143">
        <v>27706</v>
      </c>
      <c r="E20" s="143">
        <v>60746</v>
      </c>
      <c r="F20" s="143">
        <v>147</v>
      </c>
      <c r="G20" s="75">
        <f>(Tariffs!$E$41+(Tariffs!$E$43*'Time of Use'!$D20)+(Tariffs!$E$44*'Time of Use'!$E20)+(Tariffs!$E$46*'Time of Use'!$F20)+((Tariffs!$E$48*Tariffs!$I$36)*'Time of Use'!$D20)+((Tariffs!$E$49*Tariffs!$I$36)*'Time of Use'!$E20))*(1+Tariffs!$H$36)</f>
        <v>61085.149851968155</v>
      </c>
      <c r="H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Use'!$E20)*Tariffs!E$52))*(1+Tariffs!$H$36)</f>
        <v>63739.34228376815</v>
      </c>
      <c r="I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Use'!$E20)*Tariffs!F$52))*(1+Tariffs!$H$36)</f>
        <v>66745.653282368148</v>
      </c>
      <c r="J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Use'!$E20)*Tariffs!G$52))*(1+Tariffs!$H$36)</f>
        <v>66980.849361668152</v>
      </c>
      <c r="K20" s="75"/>
      <c r="L20" s="75">
        <f t="shared" si="2"/>
        <v>2654.1924317999947</v>
      </c>
      <c r="M20" s="75">
        <f t="shared" si="3"/>
        <v>5660.5034303999928</v>
      </c>
      <c r="N20" s="75">
        <f t="shared" si="4"/>
        <v>5895.6995096999963</v>
      </c>
      <c r="O20" s="214">
        <f t="shared" si="5"/>
        <v>14210.395371899984</v>
      </c>
      <c r="P20" s="75"/>
      <c r="Q20" s="112">
        <f t="shared" si="6"/>
        <v>4.3450698545097755E-2</v>
      </c>
      <c r="R20" s="112">
        <f t="shared" si="7"/>
        <v>9.2665786105419645E-2</v>
      </c>
      <c r="S20" s="112">
        <f t="shared" si="8"/>
        <v>9.6516084907501298E-2</v>
      </c>
      <c r="T20" s="180">
        <f t="shared" si="9"/>
        <v>0.2326325695580187</v>
      </c>
      <c r="U20" s="66"/>
      <c r="V20" s="66"/>
    </row>
    <row r="21" spans="2:22" x14ac:dyDescent="0.3">
      <c r="B21" s="66"/>
      <c r="C21" s="151">
        <v>620.68219633943431</v>
      </c>
      <c r="D21" s="143">
        <v>121035</v>
      </c>
      <c r="E21" s="143">
        <v>251995</v>
      </c>
      <c r="F21" s="143">
        <v>601</v>
      </c>
      <c r="G21" s="75">
        <f>(Tariffs!$E$41+(Tariffs!$E$43*'Time of Use'!$D21)+(Tariffs!$E$44*'Time of Use'!$E21)+(Tariffs!$E$46*'Time of Use'!$F21)+((Tariffs!$E$48*Tariffs!$I$36)*'Time of Use'!$D21)+((Tariffs!$E$49*Tariffs!$I$36)*'Time of Use'!$E21))*(1+Tariffs!$H$36)</f>
        <v>257297.68958894571</v>
      </c>
      <c r="H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Use'!$E21)*Tariffs!E$52))*(1+Tariffs!$H$36)</f>
        <v>268491.25675344566</v>
      </c>
      <c r="I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Use'!$E21)*Tariffs!F$52))*(1+Tariffs!$H$36)</f>
        <v>281169.8190449457</v>
      </c>
      <c r="J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Use'!$E21)*Tariffs!G$52))*(1+Tariffs!$H$36)</f>
        <v>282161.71514069568</v>
      </c>
      <c r="K21" s="75"/>
      <c r="L21" s="75">
        <f t="shared" si="2"/>
        <v>11193.567164499953</v>
      </c>
      <c r="M21" s="75">
        <f t="shared" si="3"/>
        <v>23872.129455999995</v>
      </c>
      <c r="N21" s="75">
        <f t="shared" si="4"/>
        <v>24864.025551749975</v>
      </c>
      <c r="O21" s="214">
        <f t="shared" si="5"/>
        <v>59929.722172249923</v>
      </c>
      <c r="P21" s="75"/>
      <c r="Q21" s="112">
        <f t="shared" si="6"/>
        <v>4.3504343868701723E-2</v>
      </c>
      <c r="R21" s="112">
        <f t="shared" si="7"/>
        <v>9.2780193612067352E-2</v>
      </c>
      <c r="S21" s="112">
        <f t="shared" si="8"/>
        <v>9.663524608974261E-2</v>
      </c>
      <c r="T21" s="180">
        <f t="shared" si="9"/>
        <v>0.23291978357051168</v>
      </c>
      <c r="U21" s="66"/>
      <c r="V21" s="66"/>
    </row>
    <row r="22" spans="2:22" x14ac:dyDescent="0.3">
      <c r="B22" s="66"/>
      <c r="C22" s="151">
        <v>623.12658227848101</v>
      </c>
      <c r="D22" s="143">
        <v>15554</v>
      </c>
      <c r="E22" s="143">
        <v>33673</v>
      </c>
      <c r="F22" s="143">
        <v>79</v>
      </c>
      <c r="G22" s="75">
        <f>(Tariffs!$E$41+(Tariffs!$E$43*'Time of Use'!$D22)+(Tariffs!$E$44*'Time of Use'!$E22)+(Tariffs!$E$46*'Time of Use'!$F22)+((Tariffs!$E$48*Tariffs!$I$36)*'Time of Use'!$D22)+((Tariffs!$E$49*Tariffs!$I$36)*'Time of Use'!$E22))*(1+Tariffs!$H$36)</f>
        <v>34132.216168748659</v>
      </c>
      <c r="H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Use'!$E22)*Tariffs!E$52))*(1+Tariffs!$H$36)</f>
        <v>35609.378141798661</v>
      </c>
      <c r="I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Use'!$E22)*Tariffs!F$52))*(1+Tariffs!$H$36)</f>
        <v>37282.507879148659</v>
      </c>
      <c r="J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Use'!$E22)*Tariffs!G$52))*(1+Tariffs!$H$36)</f>
        <v>37413.403702823656</v>
      </c>
      <c r="K22" s="75"/>
      <c r="L22" s="75">
        <f t="shared" si="2"/>
        <v>1477.1619730500024</v>
      </c>
      <c r="M22" s="75">
        <f t="shared" si="3"/>
        <v>3150.2917104000007</v>
      </c>
      <c r="N22" s="75">
        <f t="shared" si="4"/>
        <v>3281.1875340749975</v>
      </c>
      <c r="O22" s="214">
        <f t="shared" si="5"/>
        <v>7908.6412175250007</v>
      </c>
      <c r="P22" s="75"/>
      <c r="Q22" s="112">
        <f t="shared" si="6"/>
        <v>4.3277646131940406E-2</v>
      </c>
      <c r="R22" s="112">
        <f t="shared" si="7"/>
        <v>9.2296723272378589E-2</v>
      </c>
      <c r="S22" s="112">
        <f t="shared" si="8"/>
        <v>9.6131687372800645E-2</v>
      </c>
      <c r="T22" s="180">
        <f t="shared" si="9"/>
        <v>0.23170605677711964</v>
      </c>
      <c r="U22" s="66"/>
      <c r="V22" s="66"/>
    </row>
    <row r="23" spans="2:22" x14ac:dyDescent="0.3">
      <c r="B23" s="66"/>
      <c r="C23" s="151">
        <v>642.43309859154931</v>
      </c>
      <c r="D23" s="143">
        <v>81730</v>
      </c>
      <c r="E23" s="143">
        <v>100721</v>
      </c>
      <c r="F23" s="143">
        <v>284</v>
      </c>
      <c r="G23" s="75">
        <f>(Tariffs!$E$41+(Tariffs!$E$43*'Time of Use'!$D23)+(Tariffs!$E$44*'Time of Use'!$E23)+(Tariffs!$E$46*'Time of Use'!$F23)+((Tariffs!$E$48*Tariffs!$I$36)*'Time of Use'!$D23)+((Tariffs!$E$49*Tariffs!$I$36)*'Time of Use'!$E23))*(1+Tariffs!$H$36)</f>
        <v>132360.16801743174</v>
      </c>
      <c r="H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Use'!$E23)*Tariffs!E$52))*(1+Tariffs!$H$36)</f>
        <v>137835.00254208175</v>
      </c>
      <c r="I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Use'!$E23)*Tariffs!F$52))*(1+Tariffs!$H$36)</f>
        <v>144036.15625263174</v>
      </c>
      <c r="J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Use'!$E23)*Tariffs!G$52))*(1+Tariffs!$H$36)</f>
        <v>144521.29802290676</v>
      </c>
      <c r="K23" s="75"/>
      <c r="L23" s="75">
        <f t="shared" ref="L23:L26" si="10">H23-G23</f>
        <v>5474.8345246500103</v>
      </c>
      <c r="M23" s="75">
        <f t="shared" ref="M23:M26" si="11">I23-$G23</f>
        <v>11675.988235199999</v>
      </c>
      <c r="N23" s="75">
        <f t="shared" ref="N23:N26" si="12">J23-$G23</f>
        <v>12161.130005475017</v>
      </c>
      <c r="O23" s="214">
        <f t="shared" ref="O23:O26" si="13">SUM(L23:N23)</f>
        <v>29311.952765325026</v>
      </c>
      <c r="P23" s="75"/>
      <c r="Q23" s="112">
        <f t="shared" si="6"/>
        <v>4.1363157864297895E-2</v>
      </c>
      <c r="R23" s="112">
        <f t="shared" si="7"/>
        <v>8.8213761058857809E-2</v>
      </c>
      <c r="S23" s="112">
        <f t="shared" si="8"/>
        <v>9.187907652001015E-2</v>
      </c>
      <c r="T23" s="180">
        <f t="shared" si="9"/>
        <v>0.22145599544316585</v>
      </c>
      <c r="U23" s="66"/>
      <c r="V23" s="66"/>
    </row>
    <row r="24" spans="2:22" x14ac:dyDescent="0.3">
      <c r="B24" s="66"/>
      <c r="C24" s="151">
        <v>659.83132530120486</v>
      </c>
      <c r="D24" s="143">
        <v>17417</v>
      </c>
      <c r="E24" s="143">
        <v>37349</v>
      </c>
      <c r="F24" s="143">
        <v>83</v>
      </c>
      <c r="G24" s="75">
        <f>(Tariffs!$E$41+(Tariffs!$E$43*'Time of Use'!$D24)+(Tariffs!$E$44*'Time of Use'!$E24)+(Tariffs!$E$46*'Time of Use'!$F24)+((Tariffs!$E$48*Tariffs!$I$36)*'Time of Use'!$D24)+((Tariffs!$E$49*Tariffs!$I$36)*'Time of Use'!$E24))*(1+Tariffs!$H$36)</f>
        <v>37862.47830522</v>
      </c>
      <c r="H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Use'!$E24)*Tariffs!E$52))*(1+Tariffs!$H$36)</f>
        <v>39505.849882119997</v>
      </c>
      <c r="I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Use'!$E24)*Tariffs!F$52))*(1+Tariffs!$H$36)</f>
        <v>41367.239428419998</v>
      </c>
      <c r="J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Use'!$E24)*Tariffs!G$52))*(1+Tariffs!$H$36)</f>
        <v>41512.86359157</v>
      </c>
      <c r="K24" s="75"/>
      <c r="L24" s="75">
        <f t="shared" si="10"/>
        <v>1643.3715768999973</v>
      </c>
      <c r="M24" s="75">
        <f t="shared" si="11"/>
        <v>3504.7611231999981</v>
      </c>
      <c r="N24" s="75">
        <f t="shared" si="12"/>
        <v>3650.3852863499997</v>
      </c>
      <c r="O24" s="214">
        <f t="shared" si="13"/>
        <v>8798.5179864499951</v>
      </c>
      <c r="P24" s="75"/>
      <c r="Q24" s="112">
        <f t="shared" si="6"/>
        <v>4.3403698079463204E-2</v>
      </c>
      <c r="R24" s="112">
        <f t="shared" si="7"/>
        <v>9.2565549855113671E-2</v>
      </c>
      <c r="S24" s="112">
        <f t="shared" si="8"/>
        <v>9.6411683802714254E-2</v>
      </c>
      <c r="T24" s="180">
        <f t="shared" si="9"/>
        <v>0.23238093173729113</v>
      </c>
      <c r="U24" s="66"/>
      <c r="V24" s="66"/>
    </row>
    <row r="25" spans="2:22" x14ac:dyDescent="0.3">
      <c r="B25" s="66"/>
      <c r="C25" s="151">
        <v>679.37458193979933</v>
      </c>
      <c r="D25" s="143">
        <v>63595</v>
      </c>
      <c r="E25" s="143">
        <v>139538</v>
      </c>
      <c r="F25" s="143">
        <v>299</v>
      </c>
      <c r="G25" s="75">
        <f>(Tariffs!$E$41+(Tariffs!$E$43*'Time of Use'!$D25)+(Tariffs!$E$44*'Time of Use'!$E25)+(Tariffs!$E$46*'Time of Use'!$F25)+((Tariffs!$E$48*Tariffs!$I$36)*'Time of Use'!$D25)+((Tariffs!$E$49*Tariffs!$I$36)*'Time of Use'!$E25))*(1+Tariffs!$H$36)</f>
        <v>139001.37267747286</v>
      </c>
      <c r="H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Use'!$E25)*Tariffs!E$52))*(1+Tariffs!$H$36)</f>
        <v>145096.81507842286</v>
      </c>
      <c r="I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Use'!$E25)*Tariffs!F$52))*(1+Tariffs!$H$36)</f>
        <v>152000.90963907287</v>
      </c>
      <c r="J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Use'!$E25)*Tariffs!G$52))*(1+Tariffs!$H$36)</f>
        <v>152541.04536439787</v>
      </c>
      <c r="K25" s="75"/>
      <c r="L25" s="75">
        <f t="shared" si="10"/>
        <v>6095.4424009500071</v>
      </c>
      <c r="M25" s="75">
        <f t="shared" si="11"/>
        <v>12999.53696160001</v>
      </c>
      <c r="N25" s="75">
        <f t="shared" si="12"/>
        <v>13539.672686925012</v>
      </c>
      <c r="O25" s="214">
        <f t="shared" si="13"/>
        <v>32634.652049475029</v>
      </c>
      <c r="P25" s="75"/>
      <c r="Q25" s="112">
        <f t="shared" si="6"/>
        <v>4.3851670552156108E-2</v>
      </c>
      <c r="R25" s="112">
        <f t="shared" si="7"/>
        <v>9.3520925090164742E-2</v>
      </c>
      <c r="S25" s="112">
        <f t="shared" si="8"/>
        <v>9.7406755243643062E-2</v>
      </c>
      <c r="T25" s="180">
        <f t="shared" si="9"/>
        <v>0.23477935088596391</v>
      </c>
      <c r="U25" s="66"/>
      <c r="V25" s="66"/>
    </row>
    <row r="26" spans="2:22" x14ac:dyDescent="0.3">
      <c r="B26" s="66"/>
      <c r="C26" s="152">
        <v>690.37534246575342</v>
      </c>
      <c r="D26" s="144">
        <v>80769</v>
      </c>
      <c r="E26" s="144">
        <v>171218</v>
      </c>
      <c r="F26" s="144">
        <v>365</v>
      </c>
      <c r="G26" s="153">
        <f>(Tariffs!$E$41+(Tariffs!$E$43*'Time of Use'!$D26)+(Tariffs!$E$44*'Time of Use'!$E26)+(Tariffs!$E$46*'Time of Use'!$F26)+((Tariffs!$E$48*Tariffs!$I$36)*'Time of Use'!$D26)+((Tariffs!$E$49*Tariffs!$I$36)*'Time of Use'!$E26))*(1+Tariffs!$H$36)</f>
        <v>172767.65988425733</v>
      </c>
      <c r="H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Use'!$E26)*Tariffs!E$52))*(1+Tariffs!$H$36)</f>
        <v>180329.07159130732</v>
      </c>
      <c r="I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Use'!$E26)*Tariffs!F$52))*(1+Tariffs!$H$36)</f>
        <v>188893.61834665734</v>
      </c>
      <c r="J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Use'!$E26)*Tariffs!G$52))*(1+Tariffs!$H$36)</f>
        <v>189563.65807933235</v>
      </c>
      <c r="K26" s="153"/>
      <c r="L26" s="153">
        <f t="shared" si="10"/>
        <v>7561.4117070499924</v>
      </c>
      <c r="M26" s="153">
        <f t="shared" si="11"/>
        <v>16125.958462400013</v>
      </c>
      <c r="N26" s="153">
        <f t="shared" si="12"/>
        <v>16795.998195075023</v>
      </c>
      <c r="O26" s="215">
        <f t="shared" si="13"/>
        <v>40483.368364525028</v>
      </c>
      <c r="P26" s="153"/>
      <c r="Q26" s="194">
        <f t="shared" si="6"/>
        <v>4.3766360626263268E-2</v>
      </c>
      <c r="R26" s="194">
        <f t="shared" si="7"/>
        <v>9.3338987592951783E-2</v>
      </c>
      <c r="S26" s="194">
        <f t="shared" si="8"/>
        <v>9.7217258173938337E-2</v>
      </c>
      <c r="T26" s="213">
        <f t="shared" si="9"/>
        <v>0.23432260639315339</v>
      </c>
      <c r="U26" s="66"/>
      <c r="V26" s="66"/>
    </row>
    <row r="27" spans="2:22" x14ac:dyDescent="0.3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</row>
    <row r="28" spans="2:22" x14ac:dyDescent="0.3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</row>
    <row r="29" spans="2:22" x14ac:dyDescent="0.3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</row>
  </sheetData>
  <sortState xmlns:xlrd2="http://schemas.microsoft.com/office/spreadsheetml/2017/richdata2" ref="C7:L26">
    <sortCondition ref="C7:C26"/>
  </sortState>
  <mergeCells count="4">
    <mergeCell ref="H5:J5"/>
    <mergeCell ref="L5:O5"/>
    <mergeCell ref="Q5:T5"/>
    <mergeCell ref="H4:T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CETR Rate</vt:lpstr>
      <vt:lpstr>Rate Summary</vt:lpstr>
      <vt:lpstr>Domestic Service</vt:lpstr>
      <vt:lpstr>Employee</vt:lpstr>
      <vt:lpstr>General Service</vt:lpstr>
      <vt:lpstr>Street Lights</vt:lpstr>
      <vt:lpstr>Secondary Voltage Power</vt:lpstr>
      <vt:lpstr>Large Power</vt:lpstr>
      <vt:lpstr>Time of Use</vt:lpstr>
      <vt:lpstr>Tariffs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2023-08-09T15:36:31Z</dcterms:created>
  <dcterms:modified xsi:type="dcterms:W3CDTF">2023-10-04T18:50:24Z</dcterms:modified>
</cp:coreProperties>
</file>